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en_skoroszyt"/>
  <mc:AlternateContent xmlns:mc="http://schemas.openxmlformats.org/markup-compatibility/2006">
    <mc:Choice Requires="x15">
      <x15ac:absPath xmlns:x15ac="http://schemas.microsoft.com/office/spreadsheetml/2010/11/ac" url="C:\Users\Jerzy Rosłon.ZIPZB521JR\Desktop\www\"/>
    </mc:Choice>
  </mc:AlternateContent>
  <xr:revisionPtr revIDLastSave="0" documentId="13_ncr:1_{A4C42820-ADBA-457F-8884-6ADFD1FF709A}" xr6:coauthVersionLast="47" xr6:coauthVersionMax="47" xr10:uidLastSave="{00000000-0000-0000-0000-000000000000}"/>
  <bookViews>
    <workbookView xWindow="28680" yWindow="-120" windowWidth="38640" windowHeight="21240" xr2:uid="{00000000-000D-0000-FFFF-FFFF00000000}"/>
  </bookViews>
  <sheets>
    <sheet name="Budynek" sheetId="3" r:id="rId1"/>
    <sheet name="Zmienne decyzyjne" sheetId="6" r:id="rId2"/>
    <sheet name="Zależności wskaźników" sheetId="4" r:id="rId3"/>
    <sheet name="Regresja " sheetId="7" r:id="rId4"/>
    <sheet name="Finansowanie" sheetId="2" r:id="rId5"/>
    <sheet name="Przepływy i NPV" sheetId="1" r:id="rId6"/>
    <sheet name="CB_DATA_" sheetId="5" state="veryHidden" r:id="rId7"/>
  </sheets>
  <definedNames>
    <definedName name="CB_42cf22b895e444b5b5e9c29cf8276efd" localSheetId="6" hidden="1">#N/A</definedName>
    <definedName name="CB_48614e5c45d44c1e9e0e0740f6c88eb9" localSheetId="5" hidden="1">'Przepływy i NPV'!$F$34</definedName>
    <definedName name="CB_5932a4eeaab745e79a39813364ea1452" localSheetId="2" hidden="1">'Zależności wskaźników'!$L$3</definedName>
    <definedName name="CB_5c8291ac63d947db9d59ccccf663e2ee" localSheetId="5" hidden="1">'Przepływy i NPV'!$F$30</definedName>
    <definedName name="CB_9cda7909083e4396b7cad2c0902b0674" localSheetId="4" hidden="1">Finansowanie!$E$3</definedName>
    <definedName name="CB_Block_00000000000000000000000000000000" localSheetId="6" hidden="1">"'7.0.0.0"</definedName>
    <definedName name="CB_Block_00000000000000000000000000000000" localSheetId="4" hidden="1">"'7.0.0.0"</definedName>
    <definedName name="CB_Block_00000000000000000000000000000000" localSheetId="5" hidden="1">"'7.0.0.0"</definedName>
    <definedName name="CB_Block_00000000000000000000000000000000" localSheetId="2" hidden="1">"'7.0.0.0"</definedName>
    <definedName name="CB_Block_00000000000000000000000000000001" localSheetId="6" hidden="1">"'637406460440891886"</definedName>
    <definedName name="CB_Block_00000000000000000000000000000001" localSheetId="4" hidden="1">"'637406460439183219"</definedName>
    <definedName name="CB_Block_00000000000000000000000000000001" localSheetId="5" hidden="1">"'637406460440147823"</definedName>
    <definedName name="CB_Block_00000000000000000000000000000001" localSheetId="2" hidden="1">"'637406460437982081"</definedName>
    <definedName name="CB_Block_00000000000000000000000000000003" localSheetId="6" hidden="1">"'11.1.2926.0"</definedName>
    <definedName name="CB_Block_00000000000000000000000000000003" localSheetId="4" hidden="1">"'11.1.2926.0"</definedName>
    <definedName name="CB_Block_00000000000000000000000000000003" localSheetId="5" hidden="1">"'11.1.2926.0"</definedName>
    <definedName name="CB_Block_00000000000000000000000000000003" localSheetId="2" hidden="1">"'11.1.2926.0"</definedName>
    <definedName name="CB_BlockExt_00000000000000000000000000000003" localSheetId="6" hidden="1">"'11.1.2.2.000"</definedName>
    <definedName name="CB_BlockExt_00000000000000000000000000000003" localSheetId="4" hidden="1">"'11.1.2.2.000"</definedName>
    <definedName name="CB_BlockExt_00000000000000000000000000000003" localSheetId="5" hidden="1">"'11.1.2.2.000"</definedName>
    <definedName name="CB_BlockExt_00000000000000000000000000000003" localSheetId="2" hidden="1">"'11.1.2.2.000"</definedName>
    <definedName name="CBCR_8ac8f8983eda4281b738ce9dd13c682b" localSheetId="6" hidden="1">CB_DATA_!$A$10001</definedName>
    <definedName name="CBCR_ac0a101bb9f940ed991218fea69d496b" localSheetId="2" hidden="1">'Zależności wskaźników'!$M$3</definedName>
    <definedName name="CBCR_b4732d32d7934429bc34adf376909072" localSheetId="2" hidden="1">'Zależności wskaźników'!$S$3</definedName>
    <definedName name="CBWorkbookPriority" localSheetId="6" hidden="1">-1221777304</definedName>
    <definedName name="CBx_1ae138d95d7b407eabb19a80649cdc67" localSheetId="6" hidden="1">"'CB_DATA_'!$A$1"</definedName>
    <definedName name="CBx_258201f8e81b4b47a8f2c384b3adf398" localSheetId="6" hidden="1">"'Finansowanie'!$A$1"</definedName>
    <definedName name="CBx_c87d798acd7a4d3cb5957b014453c600" localSheetId="6" hidden="1">"'Zależności wskaźników'!$A$1"</definedName>
    <definedName name="CBx_e2ac9a74d9e54c90ad7d49a199e4a6a1" localSheetId="6" hidden="1">"'Przepływy i NPV'!$A$1"</definedName>
    <definedName name="CBx_Sheet_Guid" localSheetId="6" hidden="1">"'1ae138d9-5d7b-407e-abb1-9a80649cdc67"</definedName>
    <definedName name="CBx_Sheet_Guid" localSheetId="4" hidden="1">"'258201f8-e81b-4b47-a8f2-c384b3adf398"</definedName>
    <definedName name="CBx_Sheet_Guid" localSheetId="5" hidden="1">"'e2ac9a74-d9e5-4c90-ad7d-49a199e4a6a1"</definedName>
    <definedName name="CBx_Sheet_Guid" localSheetId="2" hidden="1">"'c87d798a-cd7a-4d3c-b595-7b014453c600"</definedName>
    <definedName name="CBx_SheetRef" localSheetId="6" hidden="1">CB_DATA_!$A$14</definedName>
    <definedName name="CBx_SheetRef" localSheetId="4" hidden="1">CB_DATA_!$D$14</definedName>
    <definedName name="CBx_SheetRef" localSheetId="5" hidden="1">CB_DATA_!$C$14</definedName>
    <definedName name="CBx_SheetRef" localSheetId="2" hidden="1">CB_DATA_!$B$14</definedName>
    <definedName name="CBx_StorageType" localSheetId="6" hidden="1">2</definedName>
    <definedName name="CBx_StorageType" localSheetId="4" hidden="1">2</definedName>
    <definedName name="CBx_StorageType" localSheetId="5" hidden="1">2</definedName>
    <definedName name="CBx_StorageType" localSheetId="2" hidden="1">2</definedName>
    <definedName name="solver_eng" localSheetId="5" hidden="1">1</definedName>
    <definedName name="solver_eng" localSheetId="2" hidden="1">1</definedName>
    <definedName name="solver_neg" localSheetId="5" hidden="1">1</definedName>
    <definedName name="solver_neg" localSheetId="2" hidden="1">1</definedName>
    <definedName name="solver_num" localSheetId="5" hidden="1">0</definedName>
    <definedName name="solver_num" localSheetId="2" hidden="1">0</definedName>
    <definedName name="solver_opt" localSheetId="5" hidden="1">'Przepływy i NPV'!$F$30</definedName>
    <definedName name="solver_opt" localSheetId="2" hidden="1">'Zależności wskaźników'!$M$7</definedName>
    <definedName name="solver_typ" localSheetId="5" hidden="1">1</definedName>
    <definedName name="solver_typ" localSheetId="2" hidden="1">1</definedName>
    <definedName name="solver_val" localSheetId="5" hidden="1">0</definedName>
    <definedName name="solver_val" localSheetId="2" hidden="1">0</definedName>
    <definedName name="solver_ver" localSheetId="5" hidden="1">3</definedName>
    <definedName name="solver_ver" localSheetId="2"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4" l="1" a="1"/>
  <c r="E33" i="4" s="1"/>
  <c r="H29" i="4" a="1"/>
  <c r="H29" i="4" s="1"/>
  <c r="H28" i="4" a="1"/>
  <c r="H28" i="4" s="1"/>
  <c r="H27" i="4" a="1"/>
  <c r="H27" i="4" s="1"/>
  <c r="H26" i="4" a="1"/>
  <c r="H26" i="4" s="1"/>
  <c r="J26" i="4" l="1"/>
  <c r="Q22" i="4" l="1"/>
  <c r="I5" i="1"/>
  <c r="J5" i="1" s="1"/>
  <c r="K5" i="1" s="1"/>
  <c r="L5" i="1" s="1"/>
  <c r="M5" i="1" s="1"/>
  <c r="N5" i="1" s="1"/>
  <c r="O5" i="1" s="1"/>
  <c r="P5" i="1" s="1"/>
  <c r="Q5" i="1" s="1"/>
  <c r="R5" i="1" s="1"/>
  <c r="S5" i="1" s="1"/>
  <c r="T5" i="1" s="1"/>
  <c r="U5" i="1" s="1"/>
  <c r="V5" i="1" s="1"/>
  <c r="W5" i="1" s="1"/>
  <c r="X5" i="1" s="1"/>
  <c r="Y5" i="1" s="1"/>
  <c r="Z5" i="1" s="1"/>
  <c r="AA5" i="1" s="1"/>
  <c r="P2" i="5"/>
  <c r="A10001" i="5" l="1"/>
  <c r="L7" i="2"/>
  <c r="P22" i="4"/>
  <c r="O22" i="4"/>
  <c r="N22" i="4"/>
  <c r="M22" i="4"/>
  <c r="L22" i="4"/>
  <c r="B47" i="1" l="1"/>
  <c r="C37" i="1"/>
  <c r="D11" i="5"/>
  <c r="C11" i="5"/>
  <c r="B11" i="5"/>
  <c r="A11" i="5"/>
  <c r="L5" i="4"/>
  <c r="M1" i="4"/>
  <c r="E5" i="2"/>
  <c r="L17" i="4" l="1"/>
  <c r="K17" i="4"/>
  <c r="F10" i="2"/>
  <c r="L8" i="2"/>
  <c r="C6" i="1" s="1"/>
  <c r="C35" i="1"/>
  <c r="Q24" i="4" l="1"/>
  <c r="P24" i="4"/>
  <c r="L24" i="4"/>
  <c r="O24" i="4"/>
  <c r="N24" i="4"/>
  <c r="M24" i="4"/>
  <c r="F7" i="1"/>
  <c r="E7" i="1"/>
  <c r="H7" i="1"/>
  <c r="I7" i="1"/>
  <c r="G7" i="1"/>
  <c r="J7" i="1"/>
  <c r="K7" i="1" s="1"/>
  <c r="L7" i="1" s="1"/>
  <c r="D28" i="1"/>
  <c r="E28" i="1" s="1"/>
  <c r="F28" i="1" s="1"/>
  <c r="G28" i="1" s="1"/>
  <c r="H28" i="1" s="1"/>
  <c r="I28" i="1" s="1"/>
  <c r="J28" i="1" s="1"/>
  <c r="K28" i="1" s="1"/>
  <c r="L28" i="1" s="1"/>
  <c r="M28" i="1" s="1"/>
  <c r="N28" i="1" s="1"/>
  <c r="O28" i="1" s="1"/>
  <c r="P28" i="1" s="1"/>
  <c r="Q28" i="1" s="1"/>
  <c r="R28" i="1" s="1"/>
  <c r="S28" i="1" s="1"/>
  <c r="T28" i="1" s="1"/>
  <c r="U28" i="1" s="1"/>
  <c r="V28" i="1" s="1"/>
  <c r="W28" i="1" s="1"/>
  <c r="X28" i="1" s="1"/>
  <c r="Y28" i="1" s="1"/>
  <c r="Z28" i="1" s="1"/>
  <c r="AA28" i="1" s="1"/>
  <c r="B35" i="1"/>
  <c r="B37" i="1" s="1"/>
  <c r="G14" i="1"/>
  <c r="H14" i="1" s="1"/>
  <c r="I14" i="1" s="1"/>
  <c r="J14" i="1" s="1"/>
  <c r="K14" i="1" s="1"/>
  <c r="L14" i="1" s="1"/>
  <c r="M14" i="1" s="1"/>
  <c r="N14" i="1" s="1"/>
  <c r="O14" i="1" s="1"/>
  <c r="P14" i="1" s="1"/>
  <c r="Q14" i="1" s="1"/>
  <c r="R14" i="1" s="1"/>
  <c r="S14" i="1" s="1"/>
  <c r="T14" i="1" s="1"/>
  <c r="U14" i="1" s="1"/>
  <c r="V14" i="1" s="1"/>
  <c r="W14" i="1" s="1"/>
  <c r="X14" i="1" s="1"/>
  <c r="Y14" i="1" s="1"/>
  <c r="Z14" i="1" s="1"/>
  <c r="AA14" i="1" s="1"/>
  <c r="F20" i="1"/>
  <c r="F21" i="1"/>
  <c r="G21" i="1" s="1"/>
  <c r="H21" i="1" s="1"/>
  <c r="I21" i="1" s="1"/>
  <c r="J21" i="1" s="1"/>
  <c r="K21" i="1" s="1"/>
  <c r="L21" i="1" s="1"/>
  <c r="M21" i="1" s="1"/>
  <c r="N21" i="1" s="1"/>
  <c r="O21" i="1" s="1"/>
  <c r="P21" i="1" s="1"/>
  <c r="Q21" i="1" s="1"/>
  <c r="R21" i="1" s="1"/>
  <c r="S21" i="1" s="1"/>
  <c r="T21" i="1" s="1"/>
  <c r="U21" i="1" s="1"/>
  <c r="V21" i="1" s="1"/>
  <c r="W21" i="1" s="1"/>
  <c r="X21" i="1" s="1"/>
  <c r="Y21" i="1" s="1"/>
  <c r="Z21" i="1" s="1"/>
  <c r="AA21" i="1" s="1"/>
  <c r="F22" i="1"/>
  <c r="G22" i="1" s="1"/>
  <c r="H22" i="1" s="1"/>
  <c r="I22" i="1" s="1"/>
  <c r="J22" i="1" s="1"/>
  <c r="K22" i="1" s="1"/>
  <c r="L22" i="1" s="1"/>
  <c r="M22" i="1" s="1"/>
  <c r="N22" i="1" s="1"/>
  <c r="O22" i="1" s="1"/>
  <c r="P22" i="1" s="1"/>
  <c r="Q22" i="1" s="1"/>
  <c r="R22" i="1" s="1"/>
  <c r="S22" i="1" s="1"/>
  <c r="T22" i="1" s="1"/>
  <c r="U22" i="1" s="1"/>
  <c r="V22" i="1" s="1"/>
  <c r="W22" i="1" s="1"/>
  <c r="X22" i="1" s="1"/>
  <c r="Y22" i="1" s="1"/>
  <c r="Z22" i="1" s="1"/>
  <c r="AA22" i="1" s="1"/>
  <c r="D22" i="1"/>
  <c r="E22" i="1" s="1"/>
  <c r="D21" i="1"/>
  <c r="E21" i="1" s="1"/>
  <c r="D20" i="1"/>
  <c r="E20" i="1" s="1"/>
  <c r="D18" i="1"/>
  <c r="E18" i="1" s="1"/>
  <c r="F18" i="1"/>
  <c r="G18" i="1" s="1"/>
  <c r="H18" i="1" s="1"/>
  <c r="I18" i="1" s="1"/>
  <c r="J18" i="1" s="1"/>
  <c r="K18" i="1" s="1"/>
  <c r="L18" i="1" s="1"/>
  <c r="M18" i="1" s="1"/>
  <c r="N18" i="1" s="1"/>
  <c r="O18" i="1" s="1"/>
  <c r="P18" i="1" s="1"/>
  <c r="Q18" i="1" s="1"/>
  <c r="R18" i="1" s="1"/>
  <c r="S18" i="1" s="1"/>
  <c r="T18" i="1" s="1"/>
  <c r="U18" i="1" s="1"/>
  <c r="V18" i="1" s="1"/>
  <c r="W18" i="1" s="1"/>
  <c r="X18" i="1" s="1"/>
  <c r="Y18" i="1" s="1"/>
  <c r="Z18" i="1" s="1"/>
  <c r="AA18" i="1" s="1"/>
  <c r="B45" i="1" l="1"/>
  <c r="B49" i="1" s="1"/>
  <c r="B54" i="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C4" i="2"/>
  <c r="G5" i="2" s="1"/>
  <c r="K5" i="2" s="1"/>
  <c r="C10" i="1" s="1"/>
  <c r="H17" i="1"/>
  <c r="F6" i="1"/>
  <c r="J6" i="1"/>
  <c r="M7" i="1"/>
  <c r="N7" i="1" s="1"/>
  <c r="O7" i="1" s="1"/>
  <c r="P7" i="1" s="1"/>
  <c r="P6" i="1" s="1"/>
  <c r="L17" i="1"/>
  <c r="I6" i="1"/>
  <c r="F17" i="1"/>
  <c r="I17" i="1"/>
  <c r="E17" i="1"/>
  <c r="J17" i="1"/>
  <c r="Y25" i="1"/>
  <c r="G17" i="1"/>
  <c r="K17" i="1"/>
  <c r="G10" i="2"/>
  <c r="I10" i="2" s="1"/>
  <c r="K10" i="2" s="1"/>
  <c r="C13" i="1" s="1"/>
  <c r="C24" i="1" s="1"/>
  <c r="N25" i="1"/>
  <c r="Z25" i="1"/>
  <c r="G6" i="1"/>
  <c r="K6" i="1"/>
  <c r="C25" i="1"/>
  <c r="G25" i="1"/>
  <c r="K25" i="1"/>
  <c r="O25" i="1"/>
  <c r="S25" i="1"/>
  <c r="W25" i="1"/>
  <c r="AA25" i="1"/>
  <c r="F25" i="1"/>
  <c r="R25" i="1"/>
  <c r="H6" i="1"/>
  <c r="L6" i="1"/>
  <c r="D25" i="1"/>
  <c r="H25" i="1"/>
  <c r="L25" i="1"/>
  <c r="P25" i="1"/>
  <c r="T25" i="1"/>
  <c r="X25" i="1"/>
  <c r="J25" i="1"/>
  <c r="V25" i="1"/>
  <c r="E25" i="1"/>
  <c r="I25" i="1"/>
  <c r="M25" i="1"/>
  <c r="Q25" i="1"/>
  <c r="U25" i="1"/>
  <c r="G20" i="1"/>
  <c r="H20" i="1" s="1"/>
  <c r="I20" i="1" s="1"/>
  <c r="J20" i="1" s="1"/>
  <c r="K20" i="1" s="1"/>
  <c r="L20" i="1" s="1"/>
  <c r="M20" i="1" s="1"/>
  <c r="N20" i="1" s="1"/>
  <c r="O20" i="1" s="1"/>
  <c r="P20" i="1" s="1"/>
  <c r="Q20" i="1" s="1"/>
  <c r="R20" i="1" s="1"/>
  <c r="S20" i="1" s="1"/>
  <c r="T20" i="1" s="1"/>
  <c r="U20" i="1" s="1"/>
  <c r="V20" i="1" s="1"/>
  <c r="W20" i="1" s="1"/>
  <c r="X20" i="1" s="1"/>
  <c r="Y20" i="1" s="1"/>
  <c r="Z20" i="1" s="1"/>
  <c r="AA20" i="1" s="1"/>
  <c r="N17" i="1" l="1"/>
  <c r="M6" i="1"/>
  <c r="O6" i="1"/>
  <c r="M17" i="1"/>
  <c r="G3" i="2"/>
  <c r="F13" i="2"/>
  <c r="G13" i="2" s="1"/>
  <c r="I13" i="2" s="1"/>
  <c r="N10" i="2" s="1"/>
  <c r="F13" i="1" s="1"/>
  <c r="E8" i="1"/>
  <c r="N7" i="2" s="1"/>
  <c r="N8" i="2" s="1"/>
  <c r="E6" i="1" s="1"/>
  <c r="D8" i="1"/>
  <c r="M7" i="2" s="1"/>
  <c r="M8" i="2" s="1"/>
  <c r="D6" i="1" s="1"/>
  <c r="C26" i="1"/>
  <c r="C27" i="1" s="1"/>
  <c r="F12" i="1"/>
  <c r="G12" i="1" s="1"/>
  <c r="E13" i="2"/>
  <c r="O17" i="1"/>
  <c r="N6" i="1"/>
  <c r="Q7" i="1"/>
  <c r="P17" i="1"/>
  <c r="F14" i="2" l="1"/>
  <c r="G14" i="2" s="1"/>
  <c r="I14" i="2" s="1"/>
  <c r="O10" i="2" s="1"/>
  <c r="G13" i="1" s="1"/>
  <c r="G23" i="1" s="1"/>
  <c r="G24" i="1" s="1"/>
  <c r="G26" i="1" s="1"/>
  <c r="C54" i="1"/>
  <c r="F11" i="2"/>
  <c r="D54" i="1"/>
  <c r="F12" i="2"/>
  <c r="F23" i="1"/>
  <c r="F24" i="1" s="1"/>
  <c r="E14" i="2"/>
  <c r="E15" i="2" s="1"/>
  <c r="E16" i="2" s="1"/>
  <c r="E17" i="2" s="1"/>
  <c r="E18" i="2" s="1"/>
  <c r="E19" i="2" s="1"/>
  <c r="E20" i="2" s="1"/>
  <c r="E21" i="2" s="1"/>
  <c r="E22" i="2" s="1"/>
  <c r="H12" i="1"/>
  <c r="R7" i="1"/>
  <c r="Q17" i="1"/>
  <c r="Q6" i="1"/>
  <c r="E54" i="1" l="1"/>
  <c r="C11" i="2"/>
  <c r="G11" i="2"/>
  <c r="I11" i="2" s="1"/>
  <c r="L10" i="2" s="1"/>
  <c r="D13" i="1" s="1"/>
  <c r="D24" i="1" s="1"/>
  <c r="D26" i="1" s="1"/>
  <c r="D27" i="1" s="1"/>
  <c r="G12" i="2"/>
  <c r="I12" i="2" s="1"/>
  <c r="M10" i="2" s="1"/>
  <c r="E13" i="1" s="1"/>
  <c r="E24" i="1" s="1"/>
  <c r="E26" i="1" s="1"/>
  <c r="F26" i="1"/>
  <c r="F15" i="2"/>
  <c r="G15" i="2" s="1"/>
  <c r="I15" i="2" s="1"/>
  <c r="P10" i="2" s="1"/>
  <c r="H13" i="1" s="1"/>
  <c r="H23" i="1" s="1"/>
  <c r="H24" i="1" s="1"/>
  <c r="H26" i="1" s="1"/>
  <c r="E24" i="2"/>
  <c r="I12" i="1"/>
  <c r="S7" i="1"/>
  <c r="R6" i="1"/>
  <c r="R17" i="1"/>
  <c r="E27" i="1" l="1"/>
  <c r="F27" i="1" s="1"/>
  <c r="G27" i="1" s="1"/>
  <c r="H27" i="1" s="1"/>
  <c r="F16" i="2"/>
  <c r="F17" i="2" s="1"/>
  <c r="J12" i="1"/>
  <c r="T7" i="1"/>
  <c r="S17" i="1"/>
  <c r="S6" i="1"/>
  <c r="G16" i="2" l="1"/>
  <c r="I16" i="2" s="1"/>
  <c r="Q10" i="2" s="1"/>
  <c r="I13" i="1" s="1"/>
  <c r="I23" i="1" s="1"/>
  <c r="I24" i="1" s="1"/>
  <c r="I26" i="1" s="1"/>
  <c r="I27" i="1" s="1"/>
  <c r="K12" i="1"/>
  <c r="U7" i="1"/>
  <c r="T17" i="1"/>
  <c r="T6" i="1"/>
  <c r="F18" i="2"/>
  <c r="G17" i="2"/>
  <c r="I17" i="2" s="1"/>
  <c r="R10" i="2" s="1"/>
  <c r="J13" i="1" s="1"/>
  <c r="J23" i="1" s="1"/>
  <c r="J24" i="1" s="1"/>
  <c r="J26" i="1" s="1"/>
  <c r="J27" i="1" l="1"/>
  <c r="L12" i="1"/>
  <c r="V7" i="1"/>
  <c r="U6" i="1"/>
  <c r="U17" i="1"/>
  <c r="F19" i="2"/>
  <c r="G18" i="2"/>
  <c r="I18" i="2" s="1"/>
  <c r="S10" i="2" s="1"/>
  <c r="K13" i="1" s="1"/>
  <c r="K23" i="1" s="1"/>
  <c r="K24" i="1" s="1"/>
  <c r="K26" i="1" s="1"/>
  <c r="K27" i="1" l="1"/>
  <c r="M12" i="1"/>
  <c r="W7" i="1"/>
  <c r="V17" i="1"/>
  <c r="V6" i="1"/>
  <c r="P23" i="1"/>
  <c r="P24" i="1" s="1"/>
  <c r="F20" i="2"/>
  <c r="G19" i="2"/>
  <c r="I19" i="2" s="1"/>
  <c r="T10" i="2" s="1"/>
  <c r="L13" i="1" s="1"/>
  <c r="L23" i="1" s="1"/>
  <c r="L24" i="1" s="1"/>
  <c r="L26" i="1" s="1"/>
  <c r="L27" i="1" l="1"/>
  <c r="N12" i="1"/>
  <c r="X7" i="1"/>
  <c r="W17" i="1"/>
  <c r="W6" i="1"/>
  <c r="Q23" i="1"/>
  <c r="Q24" i="1" s="1"/>
  <c r="F21" i="2"/>
  <c r="G20" i="2"/>
  <c r="I20" i="2" s="1"/>
  <c r="U10" i="2" s="1"/>
  <c r="M13" i="1" s="1"/>
  <c r="M23" i="1" s="1"/>
  <c r="M24" i="1" s="1"/>
  <c r="M26" i="1" s="1"/>
  <c r="M27" i="1" l="1"/>
  <c r="O12" i="1"/>
  <c r="Y7" i="1"/>
  <c r="X17" i="1"/>
  <c r="X6" i="1"/>
  <c r="R23" i="1"/>
  <c r="R24" i="1" s="1"/>
  <c r="F22" i="2"/>
  <c r="G22" i="2" s="1"/>
  <c r="I22" i="2" s="1"/>
  <c r="W10" i="2" s="1"/>
  <c r="O13" i="1" s="1"/>
  <c r="G21" i="2"/>
  <c r="I21" i="2" s="1"/>
  <c r="V10" i="2" s="1"/>
  <c r="N13" i="1" s="1"/>
  <c r="N23" i="1" s="1"/>
  <c r="N24" i="1" s="1"/>
  <c r="N26" i="1" s="1"/>
  <c r="N27" i="1" l="1"/>
  <c r="O23" i="1"/>
  <c r="O24" i="1" s="1"/>
  <c r="Z7" i="1"/>
  <c r="Y6" i="1"/>
  <c r="Y17" i="1"/>
  <c r="S23" i="1"/>
  <c r="S24" i="1" s="1"/>
  <c r="P26" i="1"/>
  <c r="O26" i="1" l="1"/>
  <c r="O27" i="1" s="1"/>
  <c r="P27" i="1" s="1"/>
  <c r="AA7" i="1"/>
  <c r="AA6" i="1" s="1"/>
  <c r="Z6" i="1"/>
  <c r="Z17" i="1"/>
  <c r="T23" i="1"/>
  <c r="T24" i="1" s="1"/>
  <c r="AA17" i="1" l="1"/>
  <c r="U23" i="1"/>
  <c r="U24" i="1" s="1"/>
  <c r="Q26" i="1"/>
  <c r="Q27" i="1" s="1"/>
  <c r="R26" i="1"/>
  <c r="V23" i="1" l="1"/>
  <c r="V24" i="1" s="1"/>
  <c r="R27" i="1"/>
  <c r="S26" i="1"/>
  <c r="W23" i="1" l="1"/>
  <c r="W24" i="1" s="1"/>
  <c r="T26" i="1"/>
  <c r="S27" i="1"/>
  <c r="X23" i="1" l="1"/>
  <c r="X24" i="1" s="1"/>
  <c r="T27" i="1"/>
  <c r="U26" i="1"/>
  <c r="Y23" i="1" l="1"/>
  <c r="Y24" i="1" s="1"/>
  <c r="V26" i="1"/>
  <c r="U27" i="1"/>
  <c r="AA23" i="1" l="1"/>
  <c r="AA24" i="1" s="1"/>
  <c r="Z23" i="1"/>
  <c r="Z24" i="1" s="1"/>
  <c r="V27" i="1"/>
  <c r="W26" i="1"/>
  <c r="F32" i="1" l="1"/>
  <c r="X26" i="1"/>
  <c r="W27" i="1"/>
  <c r="X27" i="1" l="1"/>
  <c r="Y26" i="1"/>
  <c r="Z26" i="1" l="1"/>
  <c r="Y27" i="1"/>
  <c r="Z27" i="1" l="1"/>
  <c r="F34" i="1" l="1"/>
  <c r="AA26" i="1"/>
  <c r="F30" i="1" s="1"/>
  <c r="AA2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<sst xmlns="http://schemas.openxmlformats.org/spreadsheetml/2006/main" count="174" uniqueCount="153">
  <si>
    <t xml:space="preserve">Amortyzacja </t>
  </si>
  <si>
    <t>Odsetki od kredytu</t>
  </si>
  <si>
    <t>Podatek od nieruchomości</t>
  </si>
  <si>
    <t xml:space="preserve">Podatek gruntowy </t>
  </si>
  <si>
    <t xml:space="preserve">Wieczyste </t>
  </si>
  <si>
    <t>Zużycie materiałów i energii</t>
  </si>
  <si>
    <t xml:space="preserve">Wynagrodzenia </t>
  </si>
  <si>
    <t xml:space="preserve">Opłaty bankowe </t>
  </si>
  <si>
    <t xml:space="preserve">Opłaty sądowe, notarialne </t>
  </si>
  <si>
    <t xml:space="preserve">Pozostałe </t>
  </si>
  <si>
    <t>Kupno gruntu</t>
  </si>
  <si>
    <t>Jednorazowa prowizja banku</t>
  </si>
  <si>
    <t>Podatek dochodowy</t>
  </si>
  <si>
    <t>Współczynnik dyskonta</t>
  </si>
  <si>
    <t>PLN</t>
  </si>
  <si>
    <t>Budowa budynku biurowego</t>
  </si>
  <si>
    <t>% wykorzystania możliwości budynku</t>
  </si>
  <si>
    <t>powierzchnia użytkowa, m2:</t>
  </si>
  <si>
    <t>całkowity koszt budowy, pln:</t>
  </si>
  <si>
    <t>koniec roku</t>
  </si>
  <si>
    <t>NPV=</t>
  </si>
  <si>
    <t xml:space="preserve">IRR = </t>
  </si>
  <si>
    <t>Okres użytkowania: 22 lata</t>
  </si>
  <si>
    <t>Rata</t>
  </si>
  <si>
    <t>odsetki</t>
  </si>
  <si>
    <t>Do spłaty*</t>
  </si>
  <si>
    <t>*) - na początek roku</t>
  </si>
  <si>
    <t>Spłata kredytu</t>
  </si>
  <si>
    <t>Przepływ pieniężny</t>
  </si>
  <si>
    <t>Zdyskontowany przepływ pieniężny</t>
  </si>
  <si>
    <t>Kumulowany zdyskontowany przepływ pieniężny</t>
  </si>
  <si>
    <t>Przychody (kredyt+sprzedaż)</t>
  </si>
  <si>
    <t>Prognozowany czas realizacji: 3 lata</t>
  </si>
  <si>
    <t>Prognozowany czas eksploatacji: 22 lata</t>
  </si>
  <si>
    <t>Prognozowana wartość rezydualna: 40% wartości budynku nowego</t>
  </si>
  <si>
    <t>cena najmu, pln/m2</t>
  </si>
  <si>
    <t>koszt budowy 1m2</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</si>
  <si>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</si>
  <si>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</si>
  <si>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</si>
  <si>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</si>
  <si>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</si>
  <si>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</si>
  <si>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</si>
  <si>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</si>
  <si>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</si>
  <si>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</si>
  <si>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</si>
  <si>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</si>
  <si>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1ae138d9-5d7b-407e-abb1-9a80649cdc67</t>
  </si>
  <si>
    <t>CB_Block_0</t>
  </si>
  <si>
    <t>㜸〱敤㕣㕢㙣ㅣ㔷ㄹ摥㌳摥㔹敦慣敤搸㡤搳㑢㑡㘹㑤㑢㕢愸㠳ㅢ愷つ愵㐰〸扥㌴㌷㥣搸㡤㥤ㄴ㔴搰㘶扣㝢㈶㥥㘶㘷挶㥤㤹㜵攲㔲愹ㄵ戴㕣挴愵㔲戹㠸搲〲㔵㠵㤰㜸攱昲㐰戹扥㈰㈱㐰愸㐸㍣挰〳ㄲて愵㐲昰〰㐲㤱㜸攱〱〹扥敦捣捣敥散慥㜷散㙥㕢㜰㤱㑦扡扦捦㥣摢㥣㜳晥敢昹晦㌳捤㠹㕣㉥昷㙦㈴晥㘵捡㌳㜳摤攲㝡㄰㑡㘷㘲挶慢搵㘴㈵戴㍤㌷㤸㤸昲㝤㜳㝤捥づ挲㍥㌴㈸㤴㙤搴〷㝡㌹戰ㅦ㤲挵昲㥡昴〳㌴搲㜳戹㘲搱搰㔰捦㐱昸ㅢ㐹ㅥっ昶ㅡ捣〳㉣捤㑣捦㉦㍦㠰㔱ㄷ㐳捦㤷晢挶捥㐶㝤て㑤㑥㑥㑣㑥ㅣ戸晢挰摢㈷昶敦ㅢ㥢愹搷挲扡㉦て戹戲ㅥ晡㘶㙤摦搸㐲㝤戹㘶㔷摥㈷搷㤷扣ぢ搲㍤㈴㤷昷摦戱㙣摥昹㡥挹㍢てㅥ戴敥扥晢ㅤ㠳㜸㜵敥搴捣昴㠲㉦慤攰㔵ㅡ㔳攷㤴敦㥣㤵ㄵ㥢㙢㤳搲户摤昳ㄳ㌳搳昸㉦㌵㝦㍣摤㌵戱戸㈲㘵挸㔷㑢㕦扡ㄵㄹㄸ攸㌸攰㑣〵㐱摤㔹攵收ㄹ捥ㄱ㉣戵㘲〶愱敥捣挸㕡捤㜰㤲㔱㡢捥㍣昶慥㘶慥て㍡㡢搲つ散搰㕥戳挳昵㠲戳㠴㠱慡㐳捥㤹㐰㥥㌶摤昳昲㤴改㐸摤㌹㕡户慢昹㈸攵晡㙥㑤㠶㐸㑦㑣㉤㝦㘲㉡㜰㘶㔶㑣㕦捤㈸攰挶㘴戴㍤攲㔷㕡摢摥搴㝤㕣㑥㕤扤㠱㘳摥摣扤ㅤ㙡捥㥡㝥愳攵㜸昷㤶昱攲㕢㘷㜰㝢昷昶愹㍤㙡敤昳搶敥㝤搴㔶戶戶ㄶ〳㌱㝤慢ㅤ挵㘲㡣〲㐱㍦㐱㤱㠰〸㌴㑡〴〳〴㠳〰㈲晦て㜰㐹扡㈳慢戴戲愹㤵㤷戵㜲㐵㉢㔷戵戲搴捡㤶㔶㍥慦㤵㔷戴戲慤㤵ㅦ搰捡ㄷ搰㈶㐹挵晥㝥㉤㑥㝦㝡改攷㥦㍡㜱昳㡢㈷㥦晤搵晤㘷㝥晣㑤攳㝢㠳扢搰攸摥㜸㔲戳扥㜹ㄱ愴搶愴攲〳ㄳ晢昹㙦㜳慥〰㔳㔸〷慤扢慣挹挹敡挱晤收ㅤ愶捥㘵㘵㈰扦㠵㔰㐶搰㜶搰扡捦㜶慢摥㐵㠵扢敢愶捤㐰㌶㌷㙥㍣慥㥢昶敡㙥㌵㜸挳挶㤵㡢愱ㄹ捡㙢摢敢㥡㠳㜴㜴㕢〴㕢挹㐰扤敦晡昶㙥㘷捤㕡㕤㑥㕤戲愳敡㌷戶㔵㍢ぢ扥户摣扤昶㠸㉦ㅦ㙣搴㜶捣㘸ち㐲㙤㑤㡤摤戱捡愸㉡㥡搷搸捣㡡ㄷ㐸㔷㑤㙦摣㔹戰㉢ㄷ愴扦㈸㈹ㄲ㘵㔵㉤昵㑡㔶挵㕣㍦㍥敦㘲愱攰搶敡㡤改㔲敢㥥㑢㈱㤸㔹㔶㌱摦㔵改㠷敢㑢收㜲㑤㕥搵搲㈴㝡㈷㉡昶戶ㄴㅦ昱㉡昵㘰挶㜳㐳摦慢戵搶㑣㔵搷㑣㐸㥡敡㐹慦㉡昳昹㥣ㄲち㄰戸㝤㝤㐲攴㙥敢捥ぢちㄱ㈹ㄴ㤳㤱慦㘹㈵扢㠹搳㔸ㅤ㔶㔱㤳愴㐹敤捤㥢っ挶昹㉡ㄹ㤳挱㠱愹㌵㔱㝦昰愵㙦搹㘴搸〶收㕥摢挶㥡㌶ㅡ慦晥㥥㌵改㠶挷㑣户㕡㤳㝥愶昶ㄳ㥣㤱㌱っ愰㕦㠶㐰攸扡㝢㔴㜵攲㤲㔸搷㉦摡搵㜰愵戰㈲敤昳㉢㈱捡愰㈱㡢㐵㙥㙤㐷㌲慥㐰㤱戱㥢㘰ㄴ愰㔴捡ㄵ昶戰㔱愱㠴㤴搳㈹㥤㌲㜸戹㐵㤰戳㕦ぢ㉦て㕡㐷散㕡㈸㈳愱㍣㙣〱㈳㤱㔶㔳攸ㅢ㈲㠹晡㘶㈵㔲ㄸ㝢慣ㄹ㔰愹㘹扢攱㝡㤳㙦㍢戸㈴㈲愲ㅤ㔹戰敤㘴〱㐵㐱慢㍣挸攰㌵㄰㑤㥢㌴挸㙥㥣㈲㈲戲㐱㠶㘶挷挸慤㐴挶昶ㄹ㌲〲敤搳㐴挸搶晢扢换〸ㄲ㝢㈷㤱戲㔳㔷㝥摣㤱㘶ㅢ搹昲㤱㌴扢ㄲㅢ㘷㕣㐵㜰㌵挱㌵〴㝢〱挴㥦㈱攱㈸攵㤰㙦㑤挶ㅢ昰㙣㕣㐷昰㐶〰挸㈷㠳㌲㈷ㄶ㔵戴愱戶㘲㐷戲摤㄰散㘴㘵ㄴ㐷愲㠸㤶㜱挳捥ㅣ㜲ㄴ愲㘳慢㜳㝢攸摡扣搲戱户㜴愷捤昴㜲㐸㤱ㄹ㑤搳㙢摤愴㘹㝡㈳搸戴㐷扤㜵〳扡ㅡ㘳〴㙦〲㈸ㄹ㌷ㄲ㐲戹搰攰摤㥡㐵㑦㤳昲㜵㘱ㄶ㐵挶㔰㡦ち㍥㈶㘴ㅥ〱㌲㠴㕣挷昱㘵挷㠶愶㌹㌸㙥扤敥㙤攸㝤摤昹㍢㐶㝡㥢摥摣搱㍢昴ㄷ扤㑣㉢晡㈶戰㤷昸㐳㔷ㅤ㜳㌳慡㡤㕢〸㙥〵㘸搳㌱㍣㝤扦㕣㑦㠱㌲㡢㥤ㄴ收㜶搳敢愲慣摣愵昵㔵愹㌴搰愰戵㘴晡攷㘵〸て挶昱㔹搸挲㥥敦换ㅡづ戵㔵㔵挰昳换搵慤㠵挱ㄱ摦㜳㔸扥㘳㈳〷慦ぢ挵㤰捦㙢㝤戹㌶ㅢ㌹挳搶㑣昹㥣㔲㤴㐳ㅤ㝣㐷㜷㈱㤱敡搴㑡㕥散㤷㝤扥摣㤱㈴㍤㐸㤲户㘲㕢㡤摢〰㈰㈵挴敦扡㑡㤴㝤㙣昶㌶搵慣搵㘲愵㠷㉦攳㜴搲收㐳散㤰㈳〳㤱挳㜶ㅡ晥㠳㘰挸㔹戴㥤㠶戰ㄸ㜰ㄶ愴㕦㠱㙦挱慥挹㔲攴㤶愵愸搹㤱ㄵ慦ㄳ㔹搱搷搷㜱㥥捥昰慦㈹㍡㘹㤳ㄲ㤹摣㥥㔹㤹㜱ㄶ㙦ㄲㄵ摤㤰ㄴ㉡ㄹ慥愱㠶〴㈲攵戱敤㡥㠸改㐱挴摣㡥㡤㌳昶ㄳ㑣ㄲㅣ〰搰㝦つ㐹戳搵㡤㘷㌸慣㝦㡤㉥敤㜲㌹㔷㈴ㅡ㤴㡢昰㠵慥挲敡㈰㕦昳㜶㠲扢〰摡捣ㅦ㍡㈰㌳〸㔱愱㍣㐵㠸㉡㡣㘱㥤戵攵㐵搲挰㉥ぢ㠱愵㤹㝡㄰㝡づ㈳㑢㐳搶慣㜷捡ぢ㘷敤㘰ㄵ㤱愸㔱㉢捥摣户㈲㕤㔰㤷て摢愷慤捣㕢㕤㤵㔵挳㕡昴敡㄰㙤挷㘷户挳挱ㅣ摢〱㕢㔲㥤捤㌵㠱搴摢昹ㄸ㐳〸散戴昲户搲ㅢ扢㈵敦㌷て㝤挳捤ㅤ㕤戲挳㥡ㅣ戰㈲愶㘳扥㘸㘱ㄷㄱ㌹愸昶㕢㑢㉢扥㤴戳㐳搶㔱摦慥搶㙣㔷ㄲㄹ戰㌱ㄹ慣㥢㤳攷ㄱ㈵㔸昰ㄸ〳昴摣㈱㙢挹㌷摤㘰搵㘴㐰㜱㝤㜷换㤳ち㡢攸搶戴敤〶㜸㡤挲㈲昳挳搶攲㡡㜷ㄱㄱ摢扡攳ㅥ㌵㔷㠳㙤㠱ㄵㄲ㝤㤴ㄴ㙡㠴㈶㌴㑤ㄴ戵㘲慦昸攱㠱㍣㤷㈳敦攵〹ㄴ慥㜲㍡㝤收ㄹ摡㥢㜶㝤ㅣ愳愱㥤捥㌹つ㈲㝡搴㈸散换㤴挲攴㔴攳㙥昶㜹㈷挰㠹愳㘷㡥㌷㈳㜳慦㈸㘶慤搳换㥦㈱攳ㄵ㔹㌴〲㈱昴搱敤㡡㐸㠵㘵愴ㅣ㜰㈰㌰捥愷㜶昲㉢㔹慡つ愹㙦㔷㌳㝢〴㤱愴㐱㙢捥㕣㤶㌵挴愳ㅤ㌳摣ㄵ㍤搰㡣㜵捣㕡㄰搷捤㜸㡥㘳㤲戴㐸㤶㡢ㄵ㤳ㄴ㍣㔵て扤㤳戶㙢㔸〰㡡晥攲㈲昳ㄲ㡡捣㑢慡㘸搰㍡捤搰愰捡㜳㉣敦扣改摢攱㡡㘳㔷㡡㝣㘰昸㙥㕢搰㈴㤸㥣㤲㌷㐹㠹捣ㄸ㙢戳收捦挰㘴ぢ㈶㠰敥〹挸㔱㙥ㅤ搱て捡搵㐴〱晦㐴㡦㡥㈵〸ㄸ攵㈹㌵摥㡤搱㜴㜵㍢〲㈲㐷愵换挹ㅤ㡣换㡦愰㈴ㄲ㐲挴㝡〶㠹挰㉢㤸ㄲ昲㜴㜱ㄷ慣㌳慥ㅤ〲㝢挴搸ㄱ㍢㥣つ㠰㜲〰㘴搵昱昶㕡㠵搵㔴愷昱㠶㔶戸愱戳慡㐵㑤㕣摦㔹㥦搶ㅢ㙦摥愰㍡搲㈸㈹㐵戲㔹㈳愵㔹㌶㤸攳㜶㔲㌵㐲㈹敥㐴摢㠸㉣户㘹㜳摦㈹㐵㕥㠱㘲㔲㌴㤳㌳摥愳〸〵㠱摥㔸㐷搱㘷㥦㑤ㅥ愹㠸つ㙤㠰ㄲ昵㔴㔴㌶ㄴ㠷〴㡦攳摡㐹㔵㤶攲㈷昰昷慥㌸㍢㕦て㕢㙡捣㑢愳㜱捤㔴慤㌶敦挲㑡愸㤸㝥㜵㥢戰㌴搶ㄶ㘹ㄸ挵㥤扤㙡晦㘸㝢㔳㡣ㄸ戳㈱挳㈲ㄹ㝥㘰戰㈱㤸㉢ㄵ㔱愵㜵㌶挴慤㙥ㄴㄷ昹㜴㔲㥡慥挲挰㘲㔸㥤㤵㙢捡っ㙢㕡昲愳慡㐳攳戴愸攴愸㘱㑤㉤〷㔰改㈱攵㜸㥣㔳っ㙥㔸愷改㤶挲㈵〶㠸摤㌸户㔰〹ㄱ摡㙤っ挰㤳挱昶挱づ㜶㈴ち㥤搰㍡愳〴㉤㘴㄰㙥敢㈲挸㍢㍤㘲ㄴ㠲搴㔲改敦㠷挵㤷㥦㘲晡收攱㕣㤲㠹㤹㠸攱慥っ敢〱挸㑤㐷㈶挹㐵愳㐹挰㍣㤲㙣㑡㘸つ㈶㘵㌴㌱㠶㘸昲昹㈱㙥昱㌰㤶㌵㑣戶愹攱㥥㕢㘸㐳㥢搶搶㜷㔹挷摤㑡慤㕥㤵㑡ㄵ㈷戲㕡㘹攴㙤㠱㉦㜵〵㌰攲愶㡣㝤㠹㌷攵㌸㡥㔲㕣㌲㤱搴扢摤㙤ㅣ㐶㜷㈵攴㌰㐶愴晡ㄸ㠰捣㜰换愹㠰㔸挷㍤〵摡㠷扢㥢ㄷㄸ搴攵㌹㠸戴㡥㈲捡戲㌹摣挷㙢㐴㤱ㄵ户愵㥡捤㜹㜳ㅥ㙤昶㔴搱㌱㍢㉡摡ㄶ㌸挲㍡㈳㠱㔷㈸挰ㄸ改㤱㍢㌸㐸敥㜲ㅣ摤扤晣㠸㝡捣㕤〶㉡ㄴ〶〴㘳扣㍣〵攵戰慢㘰㈴ㅡ摣㕡搳敡ㄶ㡣晥搲昲㌶愶〰〴挳挰㌴㘸搱㌲㌲㜰㘶㤰摦摣挰戹〱慤㌲㈲愴改㘰㉡㘳㤴愳㜰搸〳㘹攰㈶ㅥ愴㤷㍣㈸愱㜰㡦扡ㄸ㤶摣㑤ㅣ㜷㜰〴昲晣慢摡ちㄷ捣㄰搷㕦摣扤㙤挵㔳搵㉡捤㕤昸攷戶〵㔶㜱㜵㈳㌲㐷昷戴㕤捡㔲㙢愲㝤㜷㔳㕢㐵㝣㔹昰挰散挴㌱㌳慣慣㉣㠶敢搱挵慤㕥㐹㐲晦〹晣ㄱㅢ扥㥤㌶㜳摥攵㐵搴㌵敥㝤改㠲敢㕤㜴搵扣昴㠰户晥㐰㈱戸㐲搹捦㐹㤶㜲晦挶㍦㤵戴㥣晥㘳㡣戸㤵㘹㜳㠰愶㠳㠴攳愸ㄴ㐹㠳㌱攴㌳攸〴戶㝢攳搶〰改㘴㑦ㅢ㥤㈸㐱戰㐳㈸敥昹㔷㡤㔰挴㡦㠰㔶ㄲ㑢㜴㈴挷㥥㝦〳慣㉦㝥㠸ㄲ㈲ㅣ捦戱ㄸ搱摦㠴㕣〶敡㤴㈰㡦慦㜸昰㐲挸晦て㤶ㄲ㙥摥㤰㥤晥ぢ捣㉣㝥搰㡥愲敢㠹愲敦㜷愰㐸昰ㅡ㠸攲摦ㄳ挸㈴㐹㘷㜸昶㘵〵挲戹愶㥤〳攸㙢㝥攱昷㝦㜸〰㥤㡢㠹㐳搹㘸〸戵摤㡣攷㠶㠹搰搷㘱㈲㌰㜸慦㑣㠴㤳挸〸㐶昱㈳ㄳ㈱昶㠱捣愳㘰㜳ㄳ㠱戱扤っ㐳㌰ㄵ㙡㑤戹㌵㜸〲扢捡愱㝦散ㄸ㉥摥捡〰昱㝣㈸慤㘰〶ㅥ愹慢㍢㡢ㄷ㑣摦㜴昶慡昲愳扥㠴㌲昳㤷㜰㤳㕢㜵㘱㡦㙢㌷慣㔱㥤㌶昰㔵㈴㕥昶ㅤ㝦捡搶敥慦〳㔳㔱㡡摣昷愲㈸ち慦挰㔳㈲㜸㙥挸㝤㜸捦户㡥晥昱愱挷づ昳戶㕡㑣慢晡㙤挸昷ㄲ戲愷㍤㠱愰㙥敡愲挸㤵晣㌰攷㈴㍥㔱戲㔷㙢㜲摡昴㤵ㄵㄴㄸ㑥㤲㡤〸㉦㐵㤸ㄱ昱㙤〷ㄳㄳ昷ㅥ㈲ㄳ㜳愲捤摤愹㍥㙣㔲㉥挲㠹搴挴㤵㑦㉦〹ㅢ㡡慥㡡慣㐷㙢㔳晦づ㔴搱换㥣㐸慢㤵挸㔳㈷㤳㄰摦㙥搷㜵〷愹敢愲㠳っ挳晥㠹㤴㐲晣㠱ㄴ㤲㍥挸昰㐲㠰㤲㔲愷㤱搱㙦〷挸㠸慣戵㠷㜸改て搸ㄱ〲戲㜱改慦挷㡦㔸戰㡢挰㘲攲㡢敦昵㐴㑢㕢㌴㔱㑤っ搵㉡㥢㘶ㄱㄹ㜵㜸㘱挱㘴㔲扡㠴㑣㤲昴〳挸㙤搹ㅤ挵㤷っ㌹㔱攰㉤㘲㙣摤愱慦慤攴摣攳搶㜱昳〳㝡愶愰ㄴ㠶扢㥢挵㌸㤰慡ㄸ㕤搴戴ㄴㄵㄱづ㐷搹㐶愷㠱戸ち㍡换摤㡢㔳㈹㠲㝦晣㔲㠸昵攳捤愱慦㙣慦愱㡥㜳晢戱㐰晥㘰㝦㕤㥦挱搸㜸㉢㌹〶ㄲ㜶㑢慤㡡搱昵昰㌳攸挲㐵攷㠴搱捣慡㘷㜱㄰㝦ㄲ捥敡搳㍡昴㍦愳搷㡡戳捥戲㌷挳搸㉤晡晦晤㈸搸㔴晦ぢ挶摥ㄴ㈲㍦㄰㘷昸愰㌳㝥戲㘹挸㠶㍢〲捦㌶㠲㌷敡㘰㙣愸㉣㐳摥㔱㙥ㄱㅦ慦㐶搵㑡㠲挳敦㤵㙦扦ㅡ搱攸㑢摢㜶愰慢〰㘴㙣㐸晦〶㐴㔰搷晥慤㜲㉢㌹摤ㄶ敥㐷挷㍤㈷敤㡡敦〵㥥ㄵ㡥㉤㈲攸㍢挶㙦捦㉣搸㍣㔳攲敢敤㐲敤㈶散挴攰㠷搰攷搴㍣〴昶㈹ㄹ扥㕡戱㐸㐶ㄶ戶ㄶ挹攰㜷㐸㈳愹昰ㄲ戵㐳㜰㠵㜵㙦摤慣攱搳搵㜹昸㍡㐳ㄶ㙤ぢ㘵ㄷ㜹㥣摢㙦㘸㜰敢㜰㐷敢㝤昰〷挹摡〴㠲㘳㙡〹昷㝦㠸晢摡扥〷慤㙤攳戵〵㙣搹㥢捦慤愴㍦〷㥣㙥敤㉤慤㈴挳㜷昲㡢攴㤲㔱㈶挴愵晤挳昸扢㜵〷㉤㐷ㅢ〵㥤挷ㅦ㜴搳ㄱ㌶㕥㠳晢㙣ぢ搱敦㜳攸㉡愶〸昰㌳捣㌸挳〷㐱㉦ㅦ㔹㔱㝣ㄵ换㈲〳㈰㥦㉢㔴〰扡㔳昵㌳ㅢ㔱昵挸〹昶㐴ㄲ㍣㘳㤰ㅣ㑢攲㘹㌴攴㜶㐵换〶㑢㜰搹㐲㥤㈵㤰㌷㤲ㅥ挸攷〴捦ㄲ㙡㈲㕦㐲㠷挶㐴㙣㤴㜶㥦挸ㄷ㌷㥡㠸愰ㄵ愰ㄶ㥡ㅥ㝦㈴搱㈲㐶つ搵㠶㐳攰ㄲ㜸〰㈳㠹㌲ㄹ愶㝣愴搰㈹㐴㌱㠶ㅦㄲ㐵㐸扦㠹晦扥㜸昸搷㉦㌰晤敤戰㔰ㄲㄱ㔵慤慢愰㐴㔴慢㜸㈲扤ちㅦ愵摤㔷昱㤹㡤㔶㌱㐲㘱挹㤹ㄸ㈱挰㔰㥦㈸攳㡦㕡㔵ㅤㄹ㙥㈸㝦攲ㅣ〱㝥㉤戳ㄸ㌱㔱愲晡㕥㐴〶㝤戹昳慡搵㈵㘴㤲扥㍡㌷㈲攳㉢ㅦ㘵㈸昱㐶㈴㥤㍡㠵挸㉢㕢㠸搴㘳搱㠹摤戱摢㐲㐸㘰㐹晣㙣戶慢㙣㉦昴ㄸ敡ㄷㅦ㑦㄰㜳散㔸昲〹㤵ㄶ〷㥦㐰ㄸ㤱㘹㑡㐲攲㐶㡡㡦㈵㡤扦晢㝣搳㜷㡡ち㈴㔰㑦搴㤸〴愷ㅡ㍦㥥㌴㍥㠰捦戳㔴㥢ㅣ慦ㄲ㌰扤㤸㌴㈶㘱慡挶㡦㈵㡤晦㝡㘰㙦愳㜱㐲㠷搱挸㍡㠹㈴挳攸㔵挷㠰搴愷摡挳㘸慥㕢㔴愴〳㔶㔴㑣ㄱ慡㘲挸㌵愵㑡〷㜱㉢挴挷挷搲㜳戸攴㠴扢㈰㤰戶搱晦㌳攱㌸㉥㍦捤㥡愱㠹㙦愱搷㄰㜵昶つ昵挴捥〵㙢摥㐷㐱扦㜵㍣挰攱慡扡慤㐸〴㜶㐱㍥摡摦㑤扣昳ㄹ㌶㘴㜳㍦㤲㘸㤹挶换㈴扤㘹ㄱㄵ㘱挹㡢㡦㈴㤸捤㍤摡愴ㄹ攳ㄱ㈰〷㘲ㄲ㤰ㄹ攳㔱挰㈸㈲戳㠷〵㈳攴㝦挵摣ㅦ㘱挵㐷〹ㅥ〳㈸〹㌲㍢改愰昰㌸挰㜰昲㝦慣ㄸ㕢㔳㡥ㄳ㑤㍣㤴扣㉣㑤㐶挶挷搹攱ㄳ〰㝤昰攳㡡㤸〸㑢挶㈷㔱㤲㝥㈹〵㠷㝡改愷㔸昱㘹㠲捦〰㤴㜴㑥㜶换扢挶㌵昵愸挲㍥㡢慥攲㔱〲晣㡣㈷攲っㅦ㜴敥挳扢扡ㅢ捤㍣ㄳ㈷㕦昸㈳收搹昲㈹晦㍤昸㌴㝦㥤㡢敥挳晦㤹㐴㔷ㄶ㝥㕥㝢㘷㙦㘳㤱〹㘸㥣慢摦㉡㌶晢ㄵ㡣挳㜵㌵㐳㈹ㅣ㤱㑡愵愸ㄵ〴昱捤〵ぢて㙦攰㕢づ愹ち㈱㐸〳慡挲㡤㉢づ愳挰昸ㅣ㥢ㄲ挷挴㤳昱㜹㍥ㄱ戵㙡ㄳ扦㄰㘷昸㈰㠸㔷搵晤㠱戸㝢昲㐲攲㕡㔵搸㙤㉦㈴晥㔵挵㑡晡㠵㑦㜱㌰㠵㉣㘴㕡戵ㄲ㤱愶㘸攸㘹㘴㠶晡㠶㌹户晢昰搳㉥㠹捡戹敡戹㜳晦ㅣ捥㡦㕤㥢㝦晦㝢〷㥦㝡昱㔷㉦㍤昹摢てㅥ晡换扦㥥㜹收户㝦㝡昲㠵㝦晤㘴昹搰㉦㥥㝢敥㘷㈷扥昶挲㑢扢慤㘷戵攷晦㌹昷散挳㤳ㄷㅥ㝥搰㍡㜳摢搱㠷㍦昰挰扤㤳ぢ㔷㡣昷昵昵昷摦㍡晡换㙢摥㌲昲攸㠳㍦㄰㍦晤晤搵慥㔰换挵ぢ㕡愷挱㘵慢㘹㝣〵ㄹ㑣㠳㌳㝥㑤愷挱攵慡㡤㕡㡥㌷㙡ㅡ〵㐵㌸㌷㌸〱㔵㘱戶㔶っ晣〷㙣晡戴慣</t>
  </si>
  <si>
    <t>Decisioneering:7.0.0.0</t>
  </si>
  <si>
    <t>c87d798a-cd7a-4d3c-b595-7b014453c600</t>
  </si>
  <si>
    <t>CB_Block_7.0.0.0:1</t>
  </si>
  <si>
    <t>㜸〱敤㕣㕢㙣ㅣ㔷ㄹ摥㌳摥㔹敦慣敤搸㡤搳㑢㑡㉦愶愵㉤搴挱㡤搳㠶㔲㈰〴㕦㥡ㅢ㑥散挶㑥ち㠲㙡㌳摥㍤ㄳ㑦戳㌳攳捥捣㍡㜱㈹㙡〵㠵㠲ち㔴㉡ㄷ㔱㈸ㄷ㔵愸ㄲ㐲攲昲挲晤〵〹〹㠴㡡㠴〴㍣㈰昱㔰㄰㠲〷㄰㡡挴ぢて㐸昰㝤㘷㘶㜶㘷㜷扤㘳㜷摢㠲㡢㝣搲晤㝤收摣收㥣昳㕦捦晦㥦㘹㑥攴㜲戹㝦㈳昱㉦㔳㥥㤹敢ㄶ搷㠳㔰㍡ㄳ㌳㕥慤㈶㉢愱敤戹挱挴㤴敦㥢敢㜳㜶㄰昶愱㐱愱㙣愳㍥搰换㠱晤戰㉣㤶搷愴ㅦ愰㤱㥥换ㄵ㡢㠶㠶㝡づ挲摦㐸昲㘰戰搷㘰ㅥ㘰㘹㘶㝡㝥昹㐱㡣扡ㄸ㝡扥摣㌷㜶㌶敡㝢㘸㜲㜲㘲㜲攲挰㍤〷摥㌲戱㝦摦搸㑣扤ㄶ搶㝤㜹挸㤵昵搰㌷㙢晢挶ㄶ敡换㌵扢昲㙥戹扥攴㕤㤰敥㈱戹扣晦捥㘵昳慥户㑥摥㜵昰愰㜵捦㍤㙦ㅤ挴慢㜳愷㘶愶ㄷ㝣㘹〵慦搰㤸㍡愷㝣搷慣慣搸㕣㥢㤴扥敤㥥㥦㤸㤹挶㝦愹昹攳改敥㠹挵ㄵ㈹㐳扥㕡晡搲慤挸挰㐰挷〱㘷㉡〸敡捥㉡㌷捦㜰㡥㘰愹ㄵ㌳〸㜵㘷㐶搶㙡㠶㤳㡣㕡㜴收戱㜷㌵㜳㝤搰㔹㤴㙥㘰㠷昶㥡ㅤ慥ㄷ㥣㈵っ㔴ㅤ㜲捥〴昲戴改㥥㤷愷㑣㐷敡捥搱扡㕤捤㐷㈹搷㜷㕢㌲㐴㝡㘲㙡昹ㄳ㔳㠱㌳戳㘲晡㙡㐶〱㌷㈶愳敤ㄱ扦搲摡昶收敥攳㜲敡敡つㅣ昳㤶敥敤㔰㜳搶昴ㅢ㉤挷扢户㡣ㄷ摦㍡㠳㍢扡户㑦敤㔱㙢㥦㌷㜵敦愳戶戲戵戵ㄸ㠸改㕢敤㈸ㄶ㘳ㄴ〸晡〹㡡〴㐴愰㔱㈲ㄸ㈰ㄸ〴㄰昹㝦㠰㑢搲ㅤ㔹愵㤵㑤慤扣慣㤵㉢㕡戹慡㤵愵㔶戶戴昲㜹慤扣愲㤵㙤慤晣愰㔶扥㠰㌶㐹㉡昶昷㙢㜱扡㝥攱搷㑦晤㝥摦〳敦晡挶㑦晥晣挱扢慦㝦昲挴攰㉥㌴扡㉦㥥搴慣㙦㕥〴愹㌵愹昸挰挴㝥晥摢㥣㉢挰ㄴ搶㐱敢㙥㙢㜲戲㝡㜰扦㜹愷愹㜳㔹ㄹ挸㙦㈱㤴ㄱ戴ㅤ戴敥户摤慡㜷㔱攱敥扡㘹㌳㤰捤㡤ㅢ㡦敢愶扤扡㕢つ㕥户㜱攵㘲㘸㠶昲摡昶扡收㈰ㅤ摤ㄶ挱㔶㌲㔰敦扢愱扤摢㔹戳㔶㤷㔳㤷散愸晡晡戶㙡㘷挱昷㤶扢搷ㅥ昱攵㐳㡤摡㡥ㄹ㑤㐱愸慤愹戱㍢㔶ㄹ㔵㐵昳ㅡ㥢㔹昱〲改慡改㡤㍢ぢ㜶攵㠲昴ㄷ㈵㐵愲慣慡愵㕥挹慡㤸敢挷攷㕤㉣ㄴ摣㕡扤㈹㕤㙡摤㝢㈹〴㌳换㉡收扢㉡晤㜰㝤挹㕣慥挹慢㕡㥡㐴敦㐴挵摥㤶攲㈳㕥愵ㅥ捣㜸㙥攸㝢戵搶㥡愹敡㥡〹㐹㔳㍤改㔵㘵㍥㥦㔳㐲〱〲户慦㑦㠸摣敤摤㜹㐱㈱㈲㠵㘲㌲昲㌵慤㘴㌷㜱ㅡ慢挳㉡㙡㤲㌴愹扤㘱㤳挱㌸㕦㈵㘳㌲㌸㌰戵㈶敡て扥昴㡤㥢っ摢挰摣慢摢㔸搳㐶攳搵摦扢㈶摤昰㤸改㔶㙢搲捦搴㝥㠲㌳㌲㠶〱昴换㄰〸㕤㜷㡦慡㑥㕣ㄲ敢晡㐵扢ㅡ慥ㄴ㔶愴㝤㝥㈵㐴ㄹ㌴㘴戱挸慤敤㐸挶ㄵ㈸㌲㜶ㄳ㡣〲㤴㑡戹挲ㅥ㌶㉡㤴㤰㜲㍡愵㔳〶㉦户〸㜲昶㙢攱攵㐱敢㠸㕤ぢ㘵㈴㤴㠷㉤㘰㈴搲㙡ち㝤㐳㈴㔱摦慣㐴ち㘳㡦㌵〳㉡㌵㙤㌷㕣㙦昲㙤〷㤷㐴㐴戴㈳ぢ戶㥤㉣愰㈸㘸㤵〷ㄹ扣〶愲㘹㤳〶搹㡤㔳㐴㐴㌶挸搰散ㄸ戹㤵挸搸㍥㐳㐶愰㝤㥡〸搹㝡㝦㜷ㄹ㐱㘲敦㈴㔲㜶敡捡㡦㍢搲㙣㈳㕢㍥㤲㘶㔷㘲攳㡣慢〸慥㈶戸㠶㘰㉦㠰昸㌳㈴ㅣ愵ㅣ昲慤挹㜸ㅤ㥥㡤敢〸慥〷㠰㝣㌲㈸㜳㘲㔱㐵ㅢ㙡㉢㜶㈴摢つ挱㑥㔶㐶㜱㈴㡡㘸ㄹ㌷散捣㈱㐷㈱㍡戶㍡户㠷慥捤㉢ㅤ㝢㙢㜷摡㑣㉦㠷ㄴ㤹搱㌴扤搶㑤㥡愶㌷㠲㑤㝢搴㕢㌷愲慢㌱㐶昰㝡㠰㤲㜱ㄳ㈱㤴ぢつ摥慤㔹昴㌴㈹㕦ㄳ㘶㔱㘴っ昵愸攰㘳㐲收ㄱ㈰㐳挸㜵ㅣ㕦㜶㙣㘸㥡㠳攳搶㙢摥㠶摥搷㥤扦㘳愴户改捤ㅤ扤㐳㝦搱㑢戴愲㙦〶㝢㠹摦㜷搵㌱户愰摡戸㤵攰㌶㠰㌶ㅤ挳搳昷㑢昵ㄴ㈸戳搸㐹㘱㙥㌷扤㉥捡捡㕤㕡㕦㤵㑡〳つ㕡㑢愶㝦㕥㠶昰㘰ㅣ㥦㠵㉤散昹扥慣攱㔰㕢㔵〵㍣扦㕣摤㕡ㄸㅣ昱㍤㠷攵㍢㌶㜲昰㥡㔰っ昹扣搶㤷㙢戳㤱㌳㙣捤㤴捦㈹㐵㌹搴挱㜷㜶ㄷㄲ愹㑥慤攴挵㝥搹攷换ㅤ㐹搲㠳㈴㜹ㄳ戶搵戸ㅤ〰㔲㐲晣戶慢㐴搹挷㘶㙦㔶捤㕡㉤㔶㝡昸㌲㑥㈷㙤㍥挴づ㌹㌲㄰㌹㙣愷攱㍦〸㠶㥣㐵摢㘹〸㡢〱㘷㐱晡ㄵ昸ㄶ散㥡㉣㐵㙥㔹㡡㥡ㅤ㔹昱ㅡ㤱ㄵ㝤㝤ㅤ攷改っ晦㥡愲㤳㌶㈹㤱挹敤㤹㤵ㄹ㘷昱㈶㔱搱つ㐹愱㤲攱ㅡ㙡㐸㈰㔲ㅥ摢敥㠸㤸ㅥ㐴捣ㅤ搸㌸㘳㍦挱㈴挱〱〰晤㤷㤰㌴㕢摤㜸㠶挳晡搷攸搲㉥㤷㜳㐵愲㐱戹〸㕦攸㉡慣づ昲㌵㙦㈱戸ㅢ愰捤晣愱〳㌲㠳㄰ㄵ捡㔳㠴愸挲ㄸ搶㔹㕢㕥㈴つ散戲㄰㔸㥡愹〷愱攷㌰戲㌴㘴捤㝡愷扣㜰搶づ㔶ㄱ㠹ㅡ戵攲捣晤㉢搲〵㜵昹戰㝤摡捡扣搵㔵㔹㌵慣㐵慦づ搱㜶㝣㜶㍢ㅣ捣戱ㅤ戰㈵搵搹㕣ㄳ㐸扤㥤㡦㌱㠴挰㑥㉢㝦㉢扤戱㕢昲㝥昳搰㌷摣摣搱㈵㍢慣挹〱㉢㘲㍡收㡢ㄶ㜶ㄱ㤱㠳㙡扦戵戴攲㑢㌹㍢㘴ㅤ昵敤㙡捤㜶㈵㤱〱ㅢ㤳挱扡㌹㜹ㅥ㔱㠲〵㡦㌱㐰捦ㅤ戲㤶㝣搳つ㔶㑤〶ㄴ搷㜷户㍣愹戰㠸㙥㑤摢㙥㠰搷㈸㉣㌲㍦㙣㉤慥㜸ㄷㄱ戱慤㍢敥㔱㜳㌵搸ㄶ㔸㈱搱㐷㐹愱㐶㘸㐲搳㐴㔱㉢昶㡡ㅦㅥ挸㜳㌹昲㕥㥥㐰攱㉡愷搳㘷㥥愱扤㘹搷挷㌱ㅡ摡改㥣搳㈰愲㐷㡤挲扥㑣㈹㑣㑥㌵敥㘱㥦户〱㥣㌸㝡收㜸㌳㌲昷戲㘲搶㍡扤晣ㄹ㌲㕥㤱㐵㈳㄰㐲ㅦ摤慥㠸㔴㔸㐶捡〱〷〲攳㝣㙡㈷扦㤲愵摡㤰晡㜶㌵戳㐷㄰㐹ㅡ戴收捣㘵㔹㐳㍣摡㌱挳㕤搱〳捤㔸挷慣〵㜱摤㡣攷㌸㈶㐹㡢㘴戹㔸㌱㐹挱㔳昵搰㍢㘹扢㠶〵愰攸㉦㉥㌲㉦愱挸扣愴㡡〶慤搳っつ慡㍣挷昲捥㥢扥ㅤ慥㌸㜶愵挸〷㠶敦戶〵㑤㠲挹㈹㜹㤳㤴挸㡣戱㌶㙢晥っ㑣戶㘰〲攸㥥㠰ㅣ攵搶ㄱ晤愰㕣㑤ㄴ昰㑦昴攸㔸㠲㠰㔱㥥㔲攳ㅤㄸ㑤㔷户㈳㈰㜲㔴扡㥣摣挱戸晣㈸㑡㈲㈱㐴慣㘷㤰〸扣㠲㈹㈱㑦ㄷ㜷挱㍡攳摡㈱戰㐷㡣ㅤ戱挳搹〰㈸〷㐰㔶ㅤ㙦慦㔵㔸㑤㜵ㅡ㙦㘸㠵ㅢ㍢慢㕡搴挴つ㥤昵㘹扤昱㠶つ慡㈳㡤㤲㔲㈴㥢㌵㔲㥡㘵㠳㌹㙥㈷㔵㈳㤴攲㑥戴㡤挸㜲㥢㌶昷㥤㔲攴㘵㈸㈶㐵㌳㌹攳㥤㡡㔰㄰攸㡤㜵ㄴ㝤昶搹攴㤱㡡搸搰〶㈸㔱㑦㐵㘵㐳㜱㐸昰㌸慥㥤㔴㘵㈹㝥〲㝦敦㡡戳昳昵戰愵挶扣㌴ㅡ搷㑣搵㙡昳㉥慣㠴㡡改㔷户〹㑢㘳㙤㤱㠶㔱摣搹慢昶㡦戶㌷挵㠸㌱ㅢ㌲㉣㤲攱〷〶ㅢ㠲戹㔲ㄱ㔵㕡㘷㐳摣敡㐶㜱㤱㑦㈷愵改㉡っ㉣㠶搵㔹戹愶捣戰愶㈵㍦慡㍡㌴㑥㡢㑡㡥ㅡ搶搴㜲〰㤵ㅥ㔲㡥挷㌹挵攰㠶㜵㥡㙥㈹㕣㘲㠰搸㡤㜳ぢ㤵㄰愱摤挶〰㍣ㄹ㙣ㅦ散㘰㐷愲搰〹慤㌳㑡搰㐲〶攱戶㉥㠲扣搳㈳㐶㈱㐸㉤㤵晥㝥㔸㝣攱ㄹ愶慦ㅦ捥㈵㤹㤸㠹ㄸ敥捡戰ㅥ㠰摣㜴㘴㤲㕣㌴㥡〴捣㈳挹愶㠴搶㘰㔲㐶ㄳ㘳㠸㈶㥦ㅦ攲ㄶて㘳㔹挳㘴㥢ㅡ敥戹㠵㌶戴㘹㙤㝤㤷㜵摣慤搴敡㔵愹㔴㜱㈲慢㤵㐶摥ㄶ昸㔲㔷〰㈳㙥捡搸㤷㜸㔳㡥攳㈸挵㈵ㄳ㐹扤摢摤挶㘱㜴㔷㐲づ㘳㐴慡㡦〱挸っ户㥣ち㠸㜵摣㔳愰㝤戸扢㜹㠱㐱㕤㥥㠳㐸敢㈸愲㉣㥢挳㝤扣㐶ㄴ㔹㜱㕢慡搹㥣㌷攷搱㘶㑦ㄵㅤ戳愳愲㙤㠱㈳慣㌳ㄲ㜸㠵〲㡣㤱ㅥ戹㠳㠳攴㉥挷搱摤换㡦慡挷摣㘵愰㐲㘱㐰㌰挶换㔳㔰づ扢ち㐶愲挱慤㌵慤㙥挱攸㉦㉤㙦㘳ち㐰㌰っ㑣㠳ㄶ㉤㈳〳㘷〶昹捤つ㥣ㅢ搱㉡㈳㐲㥡づ愶㌲㐶㌹ち㠷㍤㤰〶㙥攲㐱㝡挹㠳ㄲち昷愸㡢㘱挹摤挴㜱〷㐷㈰捦扦慡慤㜰挱っ㜱晤挵摤摢㔶㍣㔵慤搲摣㠵㝦㙥㕢㘰ㄵ㔷㌷㈲㜳㜴㑦摢愵㉣戵㈶摡㜷㌷户㔵挴㤷〵て捣㑥ㅣ㌳挳捡捡㘲戸ㅥ㕤摣敡㤵㈴昴ㅦ挳ㅦ戱攱摢㘹㌳攷㕤㕥㐴㕤攳摥㤷㉥戸摥㐵㔷捤㑢て㜸敢てㄴ㠲㉢㤴晤㥣㘴㈹昷㙦晣㔳㐹换改㍦挲㠸㕢㤹㌶〷㘸㍡㐸㌸㡥㑡㤱㌴ㄸ㐳㍥㠳㑥㘰扢㌷㙥つ㤰㑥昶戴搱㠹ㄲ〴㍢㠴攲㥥㝦挵〸㐵晣㄰㘸㈵戱㐴㐷㜲散昹昳㘰㝤昱〳㤴㄰攱㜸㡥挵㠸晥㝡攴㌲㔰愷〴㜹㝣挵㠳ㄷ㐲晥㝦戰㤴㜰昳㠶散昴㕦㘰㘶昱晤㜶ㄴ摤㐰ㄴ㝤慦〳㐵㠲搷㐰ㄴ晦㥥㐰㈶㐹㍡挳戳㉦㈹㄰捥㌵敤ㅣ㐰㕦昵ぢ扦晦挳〳攸㕣㑣ㅣ捡㐶㐳愸敤ㄶ㍣㌷㑣㠴扥づㄳ㠱挱㝢㘵㈲㥣㐴㐶㌰㡡ㅦ㤹〸戱て㘴ㅥ〵㥢㥢〸㡣敤㘵ㄸ㠲愹㔰㙢捡慤挱ㄳ搸㔵づ晤㘳挷㜰昱㔶〶㠸攷㐳㘹〵㌳昰㐸㕤摤㔹扣㘰晡愶戳㔷㤵ㅦ昵㈵㤴㤹扦㠴㥢摣慡ぢ㝢㕣扢㘱㡤敡戴㠱慦㈲昱戲敦昸㔳戶㜶㝦ㅤ㤸㡡㔲攴扥ㄷ㐵㔱㜸ㄹ㥥ㄲ挱㜳㐳敥〳㝢扥㜹昴てて㍦㝥㤸户搵㘲㕡搵㙦㐷扥㤷㤰㍤敤〹〴㜵㔳ㄷ㐵慥攴㠷㌹㈷昱㠹㤲扤㕡㤳搳愶慦慣愰挰㜰㤲㙣㐴㜸㈹挲㡣㠸㙦㍢㤸㤸戸昷㄰㤹㤸ㄳ㙤敥㑥昵㘱㤳㜲ㄱ㑥愴㈶慥㝣㝡㐹搸㔰㜴㔵㘴㍤㕡㥢晡户愱㡡㕥攲㐴㕡慤㐴㥥㍡㤹㠴昸㔶扢慥㍢㐸㕤ㄷㅤ㘴ㄸ昶㑦愴ㄴ攲て愴㤰昴㐱㠶ㄷ〲㤴㤴㍡㡤㡣㝥〷㐰㐶㘴慤㍤挴㑢㝦挰㡥㄰㤰㡤㑢㝦㍤㝥挴㠲㕤〴ㄶㄳ㕦㝣慦㈷㕡摡愲㠹㙡㘲愸㔶搹㌴㡢挸愸挳ぢぢ㈶㤳搲㈵㘴㤲愴ㅦ㐰㙥换敥㈸扥㘴挸㠹〲㙦ㄱ㘳敢づ㝤㙤㈵攷㕥户㡥㥢ㅦ搰㌳〵愵㌰摣摤㉣挶㠱㔴挵攸愲愶愵愸㠸㜰㌸捡㌶㍡つ挴㔵搰㔹敥㕥㥣㑡ㄱ晣攳㤷㐲慣ㅦ㙦づ㝤㘵㝢つ㜵㥣摢㡦〵昲〷晢敢㠶っ挶挶㕢挹㌱㤰戰㕢㙡㔵㡣慥㠷㥦㐱ㄷ㉥㍡㈷㡣㘶㔶㍤㡢㠳昸㤳㜰㔶㥦搶愱晦ㄹ扤㔶㥣㜵㤶扤ㄹ挶㙥搱晦敦㐱挱愶晡㕦㌰昶愶㄰昹摥㌸挳〷㥤昱㤳㑤㐳㌶摣ㄱ㜸戶ㄱ扣㔱〷㘳㐳㘵ㄹ昲㡥㜲㡢昸㜸㌵慡㔶ㄲㅣ㝥慦㝣晢搵㠸㐶㕦摡戶〳㕤〵㈰㘳㐳晡昳㄰㐱㕤晢户捡慤攴㜴㕢㜸ㅦ㍡敥㌹㘹㔷㝣㉦昰慣㜰㙣ㄱ㐱摦㌱㝥㝢㘶挱收㤹ㄲ㕦㙢ㄷ㙡㌷㘳㈷〶ㅦ㐰㥦㔳昳㄰搸愷㘴昸㑡挵㈲ㄹ㔹搸㕡㈴㠳摦㈱㡤愴挲㑢搴づ挱ㄵ搶㝤㜵戳㠶㑦㔷攷攱敢っ㔹戴㉤㤴㕤攴㜱㙥扦愱挱慤挳ㅤ慤㜷挳ㅦ㈴㙢ㄳ〸㡥愹㈵扣敦〱敥㙢晢ㅥ戴戶㡤搷ㄶ戰㘵㙦㍥户㤲晥ㅣ㜰扡戵户戴㤲っ摦挹㉦㤲㑢㐶㤹㄰㤷昶て攳敦搶ㅤ戴ㅣ㙤ㄴ㜴ㅥ㝦搰㑤㐷搸㜸つ敥戳㉤㐴扦捦愱慢㤸㈲挰捦㌰攳っㅦ〴扤㝣㘴㐵昱㘵㉣㡢っ㠰㝣慥㔰〱攸㑥搵捦㙥㐴搵㈳㈷搸ㄳ㐹昰㡣㐱㜲㉣㠹㉦愲㈱户㉢㕡㌶㔸㠲换ㄶ敡㉣㠱扣㤱昴㐰㍥㈷㜸㤶㔰ㄳ昹㍣㍡㌴㈶㘲愳戴晢㐴㍥户搱㐴〴慤〰戵搰昴昸㈳㠹ㄶ㌱㙡愸㌶ㅣ〲㤷挰〳ㄸ㐹㤴挹㌰攵㈳㠵㑥㈱㡡㌱晣㠰㈸㐲晡㔵晣昷挵挳扦㝣㠱改㙦㠷㠵㤲㠸愸㙡㕤〵㈵愲㕡挵㔳改㔵昸㈸敤扥㡡㑦㙥戴㡡ㄱち㑢捥挴〸〱㠶晡㐴ㄹ㝦搴慡敡挸㜰㐳昹ㄳ攷〸昰㙢㤹挵㠸㠹ㄲ搵昷㈲㌲攸换㥤㔷慤㉥㈱㤳昴搵戹ㄱㄹ㕦昹㈸㐳㠹㌷㈲改搴㈹㐴㕥搹㐲愴ㅥ㡢㑥散㡥摤ㄶ㐲〲㑢攲㘷戳㕤㘵㝢愱挷㔰扦㜸㈲㐱捣戱㘳挹㈷㔴㕡ㅣ㝣〲㘱㐴愶㈹〹㠹ㅢ㈹㍥㥡㌴晥捥㜷㥢扥㔳㔴㈰㠱㝡愲挶㈴㌸搵昸㈳㐹攳〳昸㍣㑢戵挹昱㉡〱搳㡢㐹㘳ㄲ愶㙡晣㜸搲昸慦〷昶㌶ㅡ㈷㜴ㄸ㡤慣㤳㐸㌲㡣㕥㜵っ㐸㝤慡㍤㡣收扡㐵㐵㍡㘰㐵挵ㄴ愱㉡㠶㕣㔳慡㜴㄰户㐲㝣㝣㉣㍤㠷㑢㑥戸ぢ〲㘹ㅢ晤㍦ㄳ㡥攳昲搳慣ㄹ㥡昸ㄶ㝡つ㔱㘷摦㔰㑦散㕣戰收㝤ㄴ昴㕢挷〳ㅣ慥慡摢㡡㐴㘰ㄷ攴愳晤摤挴㍢㥦㘱㐳㌶昷㈳㠹㤶㘹扣㑣搲㥢ㄶ㔱ㄱ㤶扣昸㔰㠲搹摣㘳㑤㥡㌱ㅥ〵㜲㈰㈶〱㤹㌱ㅥ〳㡣㈲㌲㝢㔸㌰㐲晥㔷捣晤㈱㔶㝣㤸攰㜱㠰㤲㈰戳㤳づちㅦ〱ㄸ㑥晥㡦ㄵ㘳㙢捡㜱愲㠹㠷㤳㤷愵挹挸㜸㠲ㅤ㍥〶搰〷㍦慥㠸㠹戰㘴㝣ㅣ㈵改㤷㔲㜰愸㤷㍥挹㡡㑦㄰㝣ㄲ愰愴㜳戲㕢摥㌵慥愹㐷ㄵ昶㈹㜴ㄵ㡦ㄱ攰㘷㍣ㄵ㘷昸愰㜳ㅦ摥摥摤㘸收㤹㌸昹挲ㅦ㌱捦㤶㑦昹敦挵愷昹敢㕣㜴ㅦ晥捦㈴扡戲昰昳摡摢㝡ㅢ㡢㑣㐰攳㕣晤㔶戱搹㉦㘳ㅣ慥慢ㄹ㑡攱㠸㔴㉡㐵慤㈰㠸㙦㉥㔸㜸㜸〳摦㜲㐸㔵〸㐱ㅡ㔰ㄵ㙥㕣㜱ㄸ〵挶愷搹㤴㌸㈶㥥㡣捦昰㠹愸㔵㥢昸搹㌸挳〷㐱扣慡敥て挶摤㤳ㄷㄲ搷慡挲㙥㝢㈱昱慦㉡㔶搲㉦㝣㠶㠳㈹㘴㈱搳慡㤵㠸㌴㐵㐳㕦㐴㘶愸㙦㤸㜳扢ㅦ㍦敤㤲愸㥣慢㥥㍢昷捦攱晣搸戵昹昷扣㙢昰㤹ㄷ㝦昱挷愷㝦昳晥㐳㝦昹搷戳捦晥收㑦㑦扦昰慦ㅦ㉦ㅦ晡搹㜳捦晤昴挴㔷㕥昸攳㙥敢慢摡㜷晦㌹昷搵㐷㈶㉦㍣昲㤰㜵收昶愳㡦扣昷挱晢㈶ㄷ慥ㄸ敦敢敢敦扦㙤昴攷搷扣㜱攴戱㠷扥㉦㝥昲扢慢㕤愱㤶㡢ㄷ戴㑥㠳换㔶搳昸ㄲ㌲㤸〶㘷晣慡㑥㠳换㔵ㅢ戵ㅣ㙦搴㌴ち㡡㜰㙥㜰〲慡挲㙣慤ㄸ昸てㄲち戳㈹</t>
  </si>
  <si>
    <t>e2ac9a74-d9e5-4c90-ad7d-49a199e4a6a1</t>
  </si>
  <si>
    <t>258201f8-e81b-4b47-a8f2-c384b3adf398</t>
  </si>
  <si>
    <t>㜸〱敤㕣㔹㙣㈴㐷ㄹ㥥㙡㑦㡦愷挷昶摡㔹㙦㡥つ㈱㜱〸㈱㠷ㄷ㘷扤挹ㄲㄲ㔸ㄶㅦ搹㈳㜸搷捥摡扢〱〵㌴摢㥥愹㕥㜷㜶扡摢改敥昱摡㈱㔲㈲〸㤷㈰㈰㜱㠹㐰㌸ㄴづ㠹ㄷ㡥ㄷ〸挷ぢㄲㄲ〸〵㠹〷㜸㐰攲㈱㈰〴て㈰戴ㄲ㐲攲〱〹扥慦扡㝢愶㘷挶搳㜶㈶〹㌸挸戵㤹摦搵㜵㜵㔵晤㘷晤㝦㜵㜲㈲㤷换晤ㅢ㠹㝦㤹昲捣㕣户戸ㄱ㠴搲㤹㤸昱㙡㌵㔹〹㙤捦つ㈶愶㝣摦摣㤸戳㠳戰てつち㘵ㅢ昵㠱㕥づ散㐷㘵戱扣㈶晤〰㡤昴㕣慥㔸㌴㌴搴㜳㄰晥㐶㤲〷㠳扤〶昳〰㑢㌳搳昳换て㘳搴挵搰昳攵㠱戱㜳㔱摦㈳㤳㤳ㄳ㤳ㄳ㠷敥㌹昴愶㠹㠳〷挶㘶敡戵戰敥换㈳慥慣㠷扥㔹㍢㌰戶㔰㕦慥搹㤵㜷挸㡤㈵敦愲㜴㡦挸攵㠳㜷㉥㥢㜷扤㜹昲慥挳㠷慤㝢敥㜹昳㈰㕥㥤㍢㍤㌳扤攰㑢㉢㜸㤹挶搴㌹攵扢㘶㘵挵收摡愴昴㙤昷挲挴捣㌴晥㑢捤ㅦ㑦㜷㑦㉣慥㐸ㄹ昲搵搲㤷㙥㐵〶〶㍡づ㌸㔳㐱㔰㜷㔶戹㜹㠶㜳っ㑢慤㤸㐱愸㍢㌳戲㔶㌳㥣㘴搴愲㌳㡦扤慢㤹ㅢ㠳捥愲㜴〳㍢戴搷散㜰愳攰㉣㘱愰敡㤰㜳㌶㤰㘷㑣昷㠲㍣㙤㍡㔲㜷㡥搷敤㙡㍥㑡戹扥㕢㤲㈱搲ㄳ㔳换㥦㤸ち㥣㤹ㄵ搳㔷㌳ち戸㌱ㄹ㙤㡦昹㤵搶戶㌷㜵ㅦ㤷㔳㔷㙦攰㤸㌷㜷㙦㠷㥡㜳愶摦㘸㌹摥扤㘵扣昸搶ㄹ摣搱扤㝤㙡㡦㕡晢摣搶扤㡦摡捡搶搶㘲㈰愶㙦戵愳㔸㡣㔱㈰攸㈷㈸ㄲ㄰㠱㐶㠹㘰㠰㘰㄰㐰攴晦づ㉥㐹㜷㘴㤵㔶㌶戵昲戲㔶慥㘸攵慡㔶㤶㕡搹搲捡ㄷ戴昲㡡㔶戶戵昲挳㕡昹㈲摡㈴愹搸摦慦挵改改户㥤㝢㘸晤戶㤹攳㍦扣攳摥慦晥㈳㝦敥敢㠳㝢搰攸㠱㜸㔲戳扥㜹〹愴搶愴攲㐳ㄳ〷昹㙦㙢慥〰㔳㔸㠷慤扢慤挹挹敡攱㠳收㥤愶捥㘵㘵㈰扦㠵㔰㐶搰㜶搰㝡搰㜶慢摥㈵㠵扢敢愶捤㐰㌶㌷㙥㍣慥㥢昶敡㙥㌵㜸捤收㤵㡢愱ㄹ捡㙢摢敢㥡㠳㜴㜴㕢〴㕢挹㐰扤敦晡昶㙥攷捣㕡㕤㑥慤摢㔱昵㙢摢慡㥤〵摦㕢敥㕥㝢捣㤷㡦㌴㙡㍢㘶㌴〵愱戶愶挶敥㔸㘵㔴ㄵ捤㙢㙣㘶挵ぢ愴慢愶㌷敥㉣搸㤵㡢搲㕦㤴ㄴ㠹戲慡㤶㝡㈵慢㘲慥ㅦ㥦㜷戱㔰㜰㙢昵㜵改㔲敢扥昵㄰捣㉣慢㤸敦慡昴挳㡤㈵㜳戹㈶慦㙡㘹ㄲ扤ㄳㄵ晢㕢㡡㡦㜹㤵㝡㌰攳戹愱敦搵㕡㙢愶慡㙢㈶㈴㑤昵㤴㔷㤵昹㝣㑥〹〵〸摣扥㍥㈱㜲户㜷攷〵㠵㠸ㄴ㡡挹挸搷戴㤲摤挴ㄹ慣づ慢愸㐹搲愴昶晡㉤〶攳㝣㤵㡣挹攰挰搴㥡愸㍦昸搲㕢户ㄸ戶㠱戹㔷戶戱愶㡤挶慢扦㙦㑤扡攱〹搳慤搶愴㥦愹晤〴㘷㘴っ〳攸㤷㈱㄰扡敥ㅥ㔵㥤㔸ㄷㅢ晡㈵扢ㅡ慥ㄴ㔶愴㝤㘱㈵㐴ㄹ㌴㘴戱挸慤敤㐸挶ㄵ㈸㌲昶ㄲ㡣〲㤴㑡戹挲㍥㌶㉡㤴㤰㜲㍡愵㔳〶㉦户〸㜲昶㙢攱攵㐱敢㤸㕤ぢ㘵㈴㤴㠷㉤㘰㈴搲㙡ち㝤㐳㈴㔱摦慣㐴ち㘳㥦㌵〳㉡㌵㙤㌷摣㘸昲㙤〷㤷㐴㐴戴㉢ぢ㜶㥣㉣愰㈸㘸㤵〷ㄹ扣〶愲㘹㤳〶搹㡤㔳㐴㐴㌶挸搰散ㄸ戹㤵挸搸㍥㐳㐶愰㝤㥡〸搹晡㘰㜷ㄹ㐱㘲敦㈴㔲㜶敡捡㡦扢搲㙣㌳㕢㍥㤲㘶㔷㘲攳㡣慢〸慥㈶戸㠶㘰㍦㠰昸ㄳ㈴ㅣ愵ㅣ昲慤挹㜸つ㥥㡤敢〸㕥ぢ〰昹㘴㔰收挴愲㡡㌶搴㜶散㐸戶ㅢ㠲㥤慣㡣攲㐸ㄴ搱㌲㙥搸㤹㐳㡥㐲㜴㙣㜵敥っ㕤㥢㔷㍡昶つ摤㘹㌳扤ㅣ㔲㘴㐶搳昴㕡户㘸㥡摥〸㌶敤㔱㙦摤㠰慥挶ㄸ挱㡤〰㈵攳㜵㠴㔰㉥㌴㜸户㘷搱搳愴㝣㔵㤸㐵㤱㌱搴愳㠲㡦〹㤹㐷㠰っ㈱搷㜱㝣搹戵愱㘹づ㡥㕢慦㝡ㅢ晡㐰㜷晥㡥㤱摥愶㌷㜷昵づ晤㐵㉦搲㡡扥〹散㈵㝥搷㔵挷摣㡣㙡攳つ〴户〰戴改ㄸ㥥扥㕦慣愷㐰㤹挵㑥ち㜳㝢改㜵㔱㔶敥搲挶慡㔴ㅡ㘸搰㕡㌲晤ぢ㌲㠴〷攳攴㉣㙣㘱捦昷㘵つ㠷摡慡㉡攰昹攵敡搶挲攰㤸敦㌹㉣摦戵㤱㠳㔷㠵㘲挸攷戵扥㕣㥢㡤㥣㘱㙢愶㝣㑥㈹捡愱づ扥戳扢㤰㐸㜵㙡㈵㉦昶换㍥㕦敥㑡㤲ㅥ㈴挹㙤搸㔶攳㜶〰㐸〹昱㥢慥ㄲ攵〰㥢扤㔱㌵㙢戵㔸改攱换㌸㥤戴昹㄰㍢攴挸㐰攴戰㥤㠶晦㈰ㄸ㜲ㄶ㙤愷㈱㉣〶㥣〵改㔷攰㕢戰㙢戲ㄴ戹㘵㈹㙡㜶㘵挵慢㐴㔶昴昵㜵㥣愷㌳晣㙢㡡㑥摡愴㐴㈶户㘷㔶㘶㥣挵㥢㐴㐵㌷㈴㠵㑡㠶㙢愸㈱㠱㐸㜹㙣扢㉢㘲㝡㄰㌱㜷㘰攳㡣㠳〴㤳〴㠷〰昴㕦㐲搲㙣㜷攳ㄹづ敢㕦愳㑢扢㕣捥ㄵ㠹〶攵㈲㝣扥慢戰㍡捣搷扣㠹攰㙥㠰㌶昳㠷づ挸っ㐲㔴㈸㑦ㄱ愲ち㘳㔸攷㙣㜹㠹㌴戰挷㐲㘰㘹愶ㅥ㠴㥥挳挸搲㤰㌵敢㥤昶挲㔹㍢㔸㐵㈴㙡搴㡡㌳て慥㐸ㄷ搴攵挳昶㘹㉢昳㔶㔷㘵搵戰ㄶ扤㍡㐴摢挹搹㥤㜰㌰挷㜶挰㤶㔴㘷㜳㑤㈰昵㜶㍥挶㄰〲㍢慤晣慤昴挶㙥换晢捤㐳摦㜰㜳㐷㤷散戰㈶〷慣㠸改㤸㉦㕡搸㐵㐴づ慡晤搶搲㡡㉦攵散㤰㜵摣户慢㌵摢㤵㐴〶㙣㑣〶敢收攴〵㐴〹ㄶ㍣挶〰㍤㜷挸㕡昲㑤㌷㔸㌵ㄹ㔰摣搸摢昲愴挲㈲扡㌵㙤扢〱㕥愳戰挸晣戰戵戸攲㕤㐲挴戶敥戸挷捤搵㘰㐷㘰㠵㐴ㅦ㈵㠵ㅡ愱〹㑤ㄳ㐵慤搸㉢㝥㜸㈰捦攵挸㝢㜹〲㠵慢㥣㑥㥦㜹㠶昶愶㕤ㅦ挷㘸㘸愷㜳㑥㠳㠸ㅥ㌵ち晢㌲愵㌰㌹搵戸㠷㝤敥〵戸晦昸搹㤳捤挸摣㑢㡡㔹敢昴昲㘷挸㜸㐵ㄶ㡤㐰〸㝤㜴㝢㈲㔲㘱ㄹ㈹〷ㅣ〸㡣昳愹㥤晣㑡㤶㙡㐳敡摢搳捣ㅥ㐳㈴㘹搰㥡㌳㤷㘵つ昱㘸挷っ昷㐴て㌴㘳ㅤ戳ㄶ挴㜵㌳㥥攳㤸㈴㉤㤲攵㘲挵㈴〵㑦搵㐳敦㤴敤ㅡㄶ㠰愲扦戸挸㕣㐷㤱戹慥㡡〶慤㌳っつ慡㍣挷昲㉥㤸扥ㅤ慥㌸㜶愵挸〷㠶敦㜶〴㑤㠲挹㈹㜹㤳㤴挸㡣戱㌶㙢晥㉣㑣戶㘰〲攸㥥㠰ㅣ攵搶ㄱ晤愰㕣㑤ㄴ昰㑦昴攸㔸㠲㠰㔱㥥㔲攳慤ㄸ㑤㔷户㈳㈰㜲㔴扡㥣摣挱戸晣㌸㑡㈲㈱㐴慣㘷㤰〸扣㠲㈹㈱㑦ㄷ㜷挱㍡敢摡㈱戰㐷㡣ㅤ戳挳搹〰㈸〷㐰㔶ㅤ㙦慦㔵㔸㑤㜵ㅡ㙦㘸㠵ㅢ㍡慢㕡搴挴昵㥤昵㘹扤昱晡㑤慡㈳㡤㤲㔲㈴㕢㌵㔲㥡㘵㤳㌹敥㈴㔵㈳㤴攲㑥戴㡤挸㜲㥢㌶昷㥤㔲攴㈵㈸㈶㐵㌳㌹攳㙤㡡㔰㄰攸㡤㜵ㄴ㝤昶搹攴㤱㡡搸搰〶㈸㔱㑦㐵㘵㐳㜱㐸昰㈴慥㥤㔴㘵㈹㝥〲㝦敦㠹戳昳昵戰愵挶㕣ㅦ㡤㙢愶㙡戵㜹ㄷ㔶㐲挵昴慢㍢㠴愵戱戶㐸挳㈸敥散㔵晢㐷摢㥢㘲挴㤸つㄹㄶ挹昰〳㠳つ挱㕣愹㠸㉡慤戳㈱㙥㜵愳戸挸愷㔳搲㜴ㄵ〶ㄶ挳敡慣㕣㔳㘶㔸搳㤲ㅦ㔵ㅤㅡ愷㐵㈵㐷つ㙢㙡㌹㠰㑡て㈹挷攳㥣㘲㜰挳㍡㐳户ㄴ㉥㌱㐰散挶戹㠵㑡㠸搰㙥㘳〰㥥っ㜶づ㜶戰㈳㔱攸㠴搶ㄹ㈵㘸㈱㠳㜰㕢ㄷ㐱摥改ㄱ愳㄰愴㤶㑡㝦㍢㉡㍥晦㌴搳㌷㡦收㤲㑣捣㐴っ㜷㘵㔸て㐰㙥㍡㌲㐹㉥ㅡ㑤〲收㤱㘴㔳㐲㙢㌰㈹愳㠹㌱㐴㤳捦て㜱㡢㠷戱慣㘱戲㑤つ昷摣㐲ㅢ摡戴戶戱挷㍡改㔶㙡昵慡㔴慡㌸㤱搵㑡㈳敦〸㝣愹㉢㠰ㄱ㌷㘵散㑢扣㈹㈷㜱㤴攲㤲㠹愴摥敤㙥攳㈸扡㉢㈱㠷㌱㈲搵挷〰㘴㠶㕢㑥〵挴㍡敥㈹搰㍥摣摢扣挰愰㉥捦㐱愴㜵ㄴ㔱㤶捤攱㍥㕥㈳㡡慣戸㉤搵㙣捥㥢昳㘸戳愷㡡㑥搸㔱搱㡥挰ㄱ搶ㄹ〹扣㐲〱挶㐸㡦摣挱㐱㜲㤷攳攸敥攵挷搵㘳敥㌲㔰愱㌰㈰ㄸ攳攵㈹㈸㠷㕤〵㈳搱攰搶㥡㔶户㘰昴㤷㤶户㌱〵㈰ㄸ〶愶㐱㡢㤶㤱㠱㌳㠳晣搶〶捥つ㘸㤵ㄱ㈱㑤〷㔳ㄹ愳ㅣ㠵挳ㅥ㐸〳㌷昱㈰扤攴㐱〹㠵晢搴挵戰攴㙥攲戸㠳㈳㤰攷㕦搵㔶戸㘰㠶戸晥攲敥㙦㉢㥥慡㔶㘹敥挲㍦户㈳戰㡡慢ㅢ㤱㌹扡慦敤㔲㤶㕡ㄳ敤扢㥢摡㉡攲换㠲㠷㘶㈷㑥㤸㘱㘵㘵㌱摣㠸㉥㙥昵㑡ㄲ晡㡦攱㡦搸昴敤戴㤹昳㉥㉦愲慥㜱敦㑢ㄷ㕤敦㤲慢收愵〷扣昵〷ち挱ㄵ捡㝥㑥戲㤴晢㌷晥愹愴攵昴ㅦ㘱挴敤㑣㥢〳㌴ㅤ㈴ㅣ㐷愵㐸ㅡ㡣㈱㥦㐱㈷戰摤ㅢ户〶㐸㈷晢摡攸㐴〹㠲㕤㐲㜱㉦扣㙣㠴㈲㝥〸戴㤲㔸愲㈳㌹昶晣ㅢ㘰㝤昱〳㤴㄰攱㜸㡥挵㠸㝥㈳㜲ㄹ愸㔳㠲㍣扥攲挱ぢ㈱晦㍦㔸㑡戸㜹㔳㜶晡㉦㌰戳㜸慥ㅤ㐵搷ㄳ㐵摦敦㐰㤱攰㌵㄰挵扦昷㈳㤳㈴㥤攱搹ㄷㄵ〸攷㥡㜶て愰慦昸㠵摦晦攱〱㜴㉥㈶づ㘵愳㈱搴㜶㌳㥥ㅢ㈶㐲㕦㠷㠹挰攰扤㌲ㄱ㑥㈱㈳ㄸ挵㡦㑣㠴搸〷㌲㡦㠲慤㑤〴挶昶㌲っ挱㔴愸㌵攵搶攰〹散㉡㠷晥戱ㄳ戸㜸㉢〳挴昳愱戴㠲ㄹ㜸愴慥敥㉣㕥㌰㝤搳搹慦捡㡦晢ㄲ捡捣㕦挲㑤㙥搵㠵㍤慥摤戴㐶㜵摡挴㔷㤱㜸搹㜷晤㈹摢扢扦づ㑣㐵㈹㜲摦㡢愲㈸扣〴㑦㠹攰戹㈱昷摥㝤摦㍡晥晢㐷㥦㍣捡摢㙡㌱慤敡户㈳摦㑢挸㥥昶〴㠲扡愹㡢㈲㔷昲挳㥣㔳昸㐴挹㕥慤挹㘹搳㔷㔶㔰㘰㌸㐹㌶㈲扣ㄴ㘱㐶挴户ㄳ㑣㑣摣㝢㠸㑣捣㠹㌶㜷愷晡戰㐹戹〸㈷㔲ㄳ㔷㍥扤㈴㙣㈸扡㉡戲ㅥ慤㑤晤㍢㔰㐵㉦㜲㈲慤㔶㈲㑦㥤㑣㐲㝣扢㕤搷ㅤ愶慥㡢づ㌲っ晢㈷㔲ち昱〷㔲㐸晡㈰挳ぢ〱㑡㑡㥤㐱㐶扦〳㈰㈳戲搶ㅥ攲愵㍦㘰㔷〸挸挶愵扦ㅥ㍦㘲挱㉥〲㡢㠹㉦扥搷ㄳ㉤㙤搱㐴㌵㌱㔴慢㙣㥡㐵㘴搴攱㠵〵㤳㐹改ㄲ㌲㐹搲て㈱户㙤㜷ㄴ㕦㌲攴㐴㠱户㠸戱㜵㠷扥戶㤲㜳㥦㕢挷捤て攸㤹㠲㔲ㄸ敥㕥ㄶ攳㐰慡㘲㜴㔱搳㔲㔴㐴㌸ㅣ㘵ㅢ㥤〶攲㉡攸㉣㜷㍦㑥愵〸晥昱㑢㈱搶㡦㌷㠷扥戲扤㠶㍡捥敤挷〲昹㠳晤㜵㝤〶㘳攳慤攴ㄸ㐸搸㙤戵㉡㐶搷挳捦愲ぢㄷ㥤ㄳ㐶㌳慢㥥挵㘱晣㐹㌸慢㑦敢搰晦㡣㕥㉢捥㍡挷摥っ㘳户攸晦㜷愲㘰㑢晤㉦ㄸ㝢㔳㠸㝣㔷㥣攱㠳捥昸挹㤶㈱ㅢ敥〸㍣摢〸摥愸㠳戱愱戲っ㜹㐷戹㐵㝣扣ㅡ㔵㉢〹づ扦㔷扥晤㙡㐴愳㉦㙤摢㠱慥〲㤰戱㈱晤ㅢ㄰㐱㕤晢户捡慤攴㜴㕢㜸〸ㅤ昷㥤戲㉢扥ㄷ㜸㔶㌸戶㠸愰敦ㄸ扦㍤戳㘰昳㑣㠹慦戵ぢ戵㥢戰ㄳ㠳敦㐱㥦搳昳㄰搸愷㘵昸㜲挵㈲ㄹ㔹搸㕥㈴㠳摦㈱㡤愴挲㑢搴づ挱ㄵ搶〳㜵戳㠶㑦㔷攷攱敢っ㔹戴㈳㤴㕤攴㜱㙥扦愱挱慤挳ㅤ慤㜷挰ㅦ㈴㙢ㄳ〸㡥愹㈵㍣昴ㅥ敥㙢晢ㅥ戴戶㡤搷ㄶ戰㘵㙦㍥户㤲晥㉣㜰扡扤户戴㤲っ摦挹㉦㤲㑢㐶㤹㄰㤷昶㡦攲敦昶ㅤ戴ㅣ㙤ㄴ㜴ㅥ㝦搰㑤㐷搸㜸つ敥戳㙤㐴扦捦愳慢㤸㈲挰捦㌰攳っㅦ〴扤㝣㘴㐵昱㈵㉣㡢っ㠰㝣慥㔰〱攸㑥搵捦㙣㐶搵㈳昷戳㈷㤲攰ㄹ㠳攴㔸ㄲ㕦㐰㐳㙥㔷戴㙣戰〴㤷㉤搴㔹〲㜹㈳改㠱㝣㑥昰㉣愱㈶昲㌹㜴㘸㑣挴㐶㘹昷㠹㝣㜶戳㠹〸㕡〱㙡愱改昱㐷ㄲ㉤㘲搴㔰㙤㌸〴㉥㠱〷㌰㤲㈸㤳㘱捡㐷ち㥤㐲ㄴ㘳昸〱㔱㠴昴慢昸敦ぢ㐷㝦昹㍣搳㕦㡦ち㈵ㄱ㔱搵扡ち㑡㐴戵㡡㑦愴㔷攱愳戴晢㉡㥥摡㙣ㄵ㈳ㄴ㤶㥣㠹ㄱ〲っ昵㠹㌲晥愸㔵搵㤱攱㠶昲㈷捥ㄳ攰搷㌲㡢ㄱㄳ㈵慡敦㈵㘴搰㤷㍢慦㕡慤㈳㤳昴搵戹ㄱㄹ㕦昹㈸㐳㠹㌷㈲改搴㈹㐴㕥搹㐲愴ㅥ㡢㑥散㡥摤ㄱ㐲〲㑢攲㘷戳㕤㘵㝢愱挷㔰扦昸㔰㠲㤸ㄳ㈷㤲㑦愸戴㌸昸〴挲㠸㑣㔳ㄲㄲ㌷㔲㝣㌰㘹晣摤敦㌵㝤愷愸㐰〲昵㐴㡤㐹㜰慡昱〷㤲挶㠷昰㜹㤶㙡㤳攳㔵〲愶ㄷ㤲挶㈴㑣搵昸挹愴昱㕦づ敤㙦㌴㑥攸㌰ㅡ㔹㈷㤱㘴ㄸ扤敡ㄸ㤰晡㔴㝢ㄸ捤㜵㡢㡡㜴挰㡡㡡㈹㐲㔵っ戹愶㔴改㈰㙥㠵昸昸㔸㝡づ㤷㥣㜰ㄷ〴搲㌶晡㝦㈶㥣挴攵愷㔹㌳㌴昱㉤昴ㅡ愲捥扥愱㥥搸戹㘰捤晢㈸攸户㑥〶㌸㕣㔵㜷ㄴ㠹挰㉥挸㐷晢扢㠵㜷㍥挳㠶㙣敥㐷ㄲ㉤搳㜸㤹愴㌷㉤愲㈲㉣㜹昱扥〴戳戹㈷㥡㌴㘳㍣づ攴㐰㑣〲㌲㘳㍣〱ㄸ㐵㘴昶戱㘰㠴晣慦㤸晢㝤慣㜸㍦挱㤳〰㈵㐱㘶㈷ㅤㄴ㍥〰㌰㥣晣ㅦ㉢挶搶㤴攳㐴ㄳ㡦㈶㉦㑢㤳㤱昱㈱㜶昸㌰㐰ㅦ晣戸㈲㈶挲㤲昱ㄱ㤴愴㕦㑡挱愱㕥晡㔱㔶㝣㡣攰㈹㠰㤲捥挹㙥㝢搷戸愶ㅥ㔵搸挷搱㔵㍣㐱㠰㥦昱㠹㌸挳〷㥤晢昰㤶敥㐶㌳捦挴挹ㄷ晥㠸㜹戶㝣捡㝦ㅦ㍥捤摦攰愲晢昰㝦㈶搱㤵㠵㥦搷敥敤㙤㉣㌲〱㡤㜳昵㕢挵㘶扦㠴㜱戸慥㘶㈸㠵㈳㔲愹ㄴ戵㠲㈰扥戹㘰攱攱つ㝣换ㄱ㔵㈱〴㘹㐰㔵戸㜱挵㔱ㄴㄸ㥦㘲㔳攲㤸㜸㌲㍥捤㈷愲㔶㙤攲㘷攲っㅦ〴昱慡扡㍦ㅣ㜷㑦㕥㐸㕣慢ち扢敤㠵挴扦慡㔸㐹扦昰㘹づ愶㤰㠵㑣慢㔶㈲搲ㄴつ㝤〱㤹愱扥㘱捥敤㐱晣戴㜵㔱㌹㕦㍤㝦晥㥦挳昹戱㙢昳敦㝣晢攰搳㉦晣攲て㥦晣昵扢㡦晣昹㕦捦㍣昳敢㍦㝥昲昹㝦晤㜸昹挸捦㥥㝤昶愷昷㝦昹昹㍦散戵扥愲㝤敦㥦㜳㕦㜹㙣昲攲㘳㡦㔸㘷㙦㍦晥搸扢ㅥ㝥㘰㜲攱㡡昱扥扥晥晥㕢㐶㝦㝥捤慤㈳㑦㍣昲㥣昸挹㙦慦㜶㠵㕡㉥㕥搰㍡つ㉥㕢㑤攳㡢挸㘰ㅡ㥣昱㉢㍡つ㉥㔷㙤搴㜲扣㔱搳㈸㈸挲戹挱〹愸ち戳戵㘲攰㍦昶扥戲㉡</t>
  </si>
  <si>
    <t>StartOptEquations</t>
  </si>
  <si>
    <t>CB_Block_7.4.0.0:1</t>
  </si>
  <si>
    <t>Decisioneering:7.4.0.0</t>
  </si>
  <si>
    <t>roczny koszt kapitału inwestora:</t>
  </si>
  <si>
    <t>Struktura kosztów budynku:</t>
  </si>
  <si>
    <t>wykończenie</t>
  </si>
  <si>
    <t>wyposażenie</t>
  </si>
  <si>
    <t>konstrukcja (kwota stała 26 500 000,00 pln)</t>
  </si>
  <si>
    <t>konstrukcja (kwota stała )</t>
  </si>
  <si>
    <t>26 500 000,00 pln</t>
  </si>
  <si>
    <t>w pozostałej kwocie kosztów budowy,</t>
  </si>
  <si>
    <t>wyposażenie stanowi:</t>
  </si>
  <si>
    <t>wykończenie stanowi:</t>
  </si>
  <si>
    <t>Razem koszty budowy:</t>
  </si>
  <si>
    <t>w tym konstrukcja:</t>
  </si>
  <si>
    <t>na wykończenie i wypozażenie pozostaje:</t>
  </si>
  <si>
    <t xml:space="preserve">Q[3](x) = </t>
  </si>
  <si>
    <t>(2,22222222196404E-8) * x^3</t>
  </si>
  <si>
    <t>(-0,000676190476124607) * x^2</t>
  </si>
  <si>
    <t>(7,16111111055546) * x^1</t>
  </si>
  <si>
    <t>(-22595,2380936886) * x^0</t>
  </si>
  <si>
    <t xml:space="preserve">Q[1](x) = </t>
  </si>
  <si>
    <t>(-0,000284320809248555) * x^1</t>
  </si>
  <si>
    <t>(1,58363439306358) * x^0</t>
  </si>
  <si>
    <t>Max odchyłka wynosi : 0,0306719653179193</t>
  </si>
  <si>
    <t>Min odchyłka wynosi : -0,00462427745664729</t>
  </si>
  <si>
    <t>㜸〱敤㕣㕢㙣ㅣ㔷ㄹ摥㌳摥㔹敦慣敤搸㡤搳㑢㑡㘹摤㤶㔲愸㠳ㅢ愷つ愵㐰〸扥㌴㤷攲挴㙥散愴慤愰摡㡣㜷捦挴搳散捣戸㌳戳㑥㕣㉡戵㠲㤶㡢戸㐹攵㈲ち攵愲ち㈱昱挲攵〵㕡攰〵〹〹㠴㕡〹愴昶〱㠹㠷㠲㄰㍣㠰㔰㈴㕥晡㠰〴摦㜷㘶㘶㜷㜶搷㍢㜶户㉤戸挸㈷摤摦㘷捥㙤捥㌹晦昵晣晦㤹收㐴㉥㤷晢㌷ㄲ晦㌲攵㤹戹㘶㜱㍤〸愵㌳㌱攳搵㙡戲ㄲ摡㥥ㅢ㑣㑣昹扥戹㍥㘷〷㘱ㅦㅡㄴ捡㌶敡〳扤ㅣ搸て换㘲㜹㑤晡〱ㅡ改戹㕣戱㘸㘸愸攷㈰晣㡤㈴て〶㝢つ收〱㤶㘶愶攷㤷ㅦ挴愸㡢愱攷换㝤㘳㘷愲扥㠷㈶㈷㈷㈶㈷づ摣㜹攰摤ㄳ晢昷㡤捤搴㙢㘱摤㤷㠷㕣㔹て㝤戳戶㙦㙣愱扥㕣戳㉢ㅦ㤲敢㑢摥㜹改ㅥ㤲换晢㙦㕢㌶㙦㝦捦攴敤〷て㕡㜷摥昹㥥㐱扣㍡㜷㜲㘶㝡挱㤷㔶昰㍡㡤愹㜳捡户捦捡㡡捤戵㐹改摢敥戹㠹㤹㘹晣㤷㥡㍦㥥敥㤸㔸㕣㤱㌲攴慢愵㉦摤㡡っっ㜴ㅣ㜰愶㠲愰敥慣㜲昳っ攷〸㤶㕡㌱㠳㔰㜷㘶㘴慤㘶㌸挹愸㐵㘷ㅥ㝢㔷㌳搷〷㥤㐵改〶㜶㘸慦搹攱㝡挱㔹挲㐰搵㈱攷㜴㈰㑦㤹敥㌹㜹搲㜴愴敥ㅣ慤摢搵㝣㤴㜲㝤㌷㈷㐳愴㈷愶㤶㍦㌱ㄵ㌸㌳㉢愶慦㘶ㄴ㜰㘳㌲摡ㅥ昱㉢慤㙤㙦散㍥㉥愷慥摥挰㌱㙦敡摥づ㌵㘷㑣扦搱㜲扣㝢换㜸昱慤㌳戸戵㝢晢搴ㅥ戵昶㜹㘷昷㍥㙡㉢㕢㕢㡢㠱㤸扥搵㡥㘲㌱㐶㠱愰㥦愰㐸㐰〴ㅡ㈵㠲〱㠲㐱〰㤱晦㈷戸㈴摤㤱㔵㕡搹搴捡换㕡戹愲㤵慢㕡㔹㙡㘵㑢㉢㥦搳捡㉢㕡搹搶捡て㙡攵昳㘸㤳愴㘲㝦扦ㄶ愷挱㡦㝥昰愵ㅦ晤攲㜷㈷㝦昲挲捤搷晦攰戶㑢ㄷ〶㜷愱搱㍤昱愴㘶㝤昳〲㐸慤㐹挵〷㈶昶昳摦收㕣〱愶戰づ㕡㜷㔸㤳㤳搵㠳晢捤摢㑣㥤换捡㐰㝥ぢ愱㡣愰敤愰㜵慦敤㔶扤ぢち㜷搷㑣㥢㠱㙣㙥摣㜸㕣㌷敤搵摤㙡昰㤶㡤㉢ㄷ㐳㌳㤴㔷户搷㌵〷改攸戶〸戶㤲㠱㝡摦戵敤摤捥㤸戵扡㥣扡㘸㐷搵㙦㙤慢㜶ㄶ㝣㙦戹㝢敤ㄱ㕦㍥搴愸敤㤸搱ㄴ㠴摡㥡ㅡ扢㘳㤵㔱㔵㌴慦戱㤹ㄵ㉦㤰慥㥡摥戸戳㘰㔷捥㑢㝦㔱㔲㈴捡慡㕡敡攵慣㡡戹㝥㝣摥挵㐲挱慤搵ㅢ搲愵搶㕤ㄷ㐳㌰戳慣㘲扥慢搲て搷㤷捣攵㥡扣愲愵㐹昴㑥㔴散㙤㈹㍥攲㔵敡挱㡣攷㠶扥㔷㙢慤㤹慡慥㤹㤰㌴搵ㄳ㕥㔵收昳㌹㈵ㄴ㈰㜰晢晡㠴挸摤搲㥤ㄷㄴ㈲㔲㈸㈶㈳㕦搵㑡㜶ㄳ愷戰㍡慣愲㈶㐹㤳摡摢㌶ㄹ㡣昳㔵㌲㈶㠳〳㔳㙢愲晥攰㑢摦戱挹戰つ捣扤戱㡤㌵㙤㌴㕥晤㕤㙢搲つ㡦㤹㙥戵㈶晤㑣敤㈷㌸㈳㘳ㄸ㐰扦〴㠱搰㜵昷愸敡挴㐵戱慥㕦戰慢攱㑡㘱㐵摡攷㔶㐲㤴㐱㐳ㄶ㡢摣摡㡥㘴㕣㠶㈲㘳㌷挱㈸㐰愹㤴㉢散㘱愳㐲〹㈹愷㔳㍡㘵昰㜲㡢㈰㘷扦ㄶ㕥ㅥ戴㡥搸戵㔰㐶㐲㜹搸〲㐶㈲慤愶搰㌷㐴ㄲ昵捤㑡愴㌰昶㔸㌳愰㔲搳㜶挳昵㈶摦㜶㜰㐹㐴㐴㍢戲㘰摢挹〲㡡㠲㔶㜹㤰挱㙢㈰㥡㌶㘹㤰摤㌸㐵㐴㘴㠳っ捤㡥㤱㕢㠹㡣敤㌳㘴〴摡愷㠹㤰慤昷㜷㤷ㄱ㈴昶㑥㈲㘵愷慥晣戸㈳捤㌶戲攵㈳㘹㜶㌹㌶捥戸㠲攰㑡㠲慢〸昶〲㠸扦㐰挲㔱捡㈱摦㥡㡣户攰搹戸㠶攰慤〰㤰㑦〶㘵㑥㉣慡㘸㐳㙤挵㡥㘴扢㈱搸挹捡㈸㡥㐴ㄱ㉤攳㠶㥤㌹攴㈸㐴挷㔶攷昶搰戵㜹愵㘳摦摥㥤㌶搳换㈱㐵㘶㌴㑤慦㜵㤳愶改㡤㘰搳ㅥ昵搶㜵攸㙡㡣ㄱ㕣て㔰㌲㙥㈰㠴㜲愱挱扢㌵㡢㥥㈶攵㥢挲㉣㡡㡣愱ㅥㄵ㝣㑣挸㍣〲㘴〸戹㡥攳换㡥つ㑤㜳㜰摣㝡搳摢搰晢扡昳㜷㡣昴㌶扤戹愳㜷攸㉦㝡㤵㔶昴㡤㘰㉦昱㠷慥㍡收㈶㔴ㅢ㙦㈷戸ㄹ愰㑤挷昰昴晤㙡㍤〵捡㉣㜶㔲㤸摢㑤慦㡢戲㜲㤷搶㔷愵搲㐰㠳搶㤲改㥦㤳㈱㍣ㄸ挷㘷㘱ぢ㝢扥㉦㙢㌸搴㔶㔵〱捦㉦㔷戶ㄶ〶㐷㝣捦㘱昹㡥㡤ㅣ扣㈹ㄴ㐳㍥慦昵攵摡㙣攴っ㕢㌳攵㜳㑡㔱づ㜵昰㙤摤㠵㐴慡㔳㉢㜹戱㕦昶昹㜲㐷㤲昴㈰㐹摥㠹㙤㌵㙥〱㠰㤴㄰㉦㜵㤵㈸晢搸散㕤慡㔹慢挵㑡て㕦挶改愴捤㠷搸㈱㐷〶㈲㠷敤㌴晣〷挱㤰戳㘸㍢つ㘱㌱攰㉣㐸扦〲摦㠲㕤㤳愵挸㉤㑢㔱戳㈳㉢摥㈴戲愲慦慦攳㍣㥤攱㕦㔳㜴搲㈶㈵㌲戹㍤戳㌲攳㉣摥㈴㉡扡㈱㈹㔴㌲㕣㐳つ〹㐴捡㘳摢ㅤㄱ搳㠳㠸戹ㄵㅢ㘷散㈷㤸㈴㌸〰愰扦〰㐹戳搵㡤㘷㌸慣㝦㡤㉥敤㜲㌹㔷㈴ㅡ㤴㡢昰昹慥挲敡㈰㕦昳㙥㠲㍢〰摡捣ㅦ㍡㈰㌳〸㔱愱㍣㐵㠸㉡㡣㘱㥤戱攵〵搲挰㉥ぢ㠱愵㤹㝡㄰㝡づ㈳㑢㐳搶慣㜷搲ぢ㘷敤㘰ㄵ㤱愸㔱㉢捥摣扢㈲㕤㔰㤷て摢愷慤捣㕢㕤㤵㔵挳㕡昴敡㄰㙤挷㘷户挳挱ㅣ摢〱㕢㔲㥤捤㌵㠱搴摢昹ㄸ㐳〸散戴昲户搲ㅢ扢㈵敦㌷て㝤挳捤ㅤ㕤戲挳㥡ㅣ戰㈲愶㘳扥㘸㘱ㄷㄱ㌹愸昶㕢㑢㉢扥㤴戳㐳搶㔱摦慥搶㙣㔷ㄲㄹ戰㌱ㄹ慣㥢㤳攷㄰㈵㔸昰ㄸ〳昴摣㈱㙢挹㌷摤㘰搵㘴㐰㜱㝤㜷换㤳ち㡢攸搶戴敤〶㜸㡤挲㈲昳挳搶攲㡡㜷〱ㄱ摢扡攳ㅥ㌵㔷㠳㙤㠱ㄵㄲ㝤㤴ㄴ㙡㠴㈶㌴㑤ㄴ戵㘲慦昸攱㠱㍣㤷㈳敦攵〹ㄴ慥㜲㍡㝤收ㄹ摡㥢㜶㝤ㅣ愳愱㥤捥㌹つ㈲㝡搴㈸散换㤴挲攴㔴攳㑥昶㜹㉦挰摤㐷㑦ㅦ㙦㐶收㕥㔳捣㕡愷㤷㍦㐳挶㉢戲㘸〴㐲攸愳摢ㄵ㤱ち换㐸㌹攰㐰㘰㥣㑦敤攴㔷戲㔴ㅢ㔲摦慥㘶昶〸㈲㐹㠳搶㥣戹㉣㙢㠸㐷㍢㘶戸㉢㝡愰ㄹ敢㤸戵㈰慥㥢昱ㅣ挷㈴㘹㤱㉣ㄷ㉢㈶㈹㜸慡ㅥ㝡㈷㙣搷戰〰ㄴ晤挵㐵收㐵ㄴ㤹ㄷ㔵搱愰㜵㡡愱㐱㤵攷㔸摥㌹搳户挳ㄵ挷慥ㄴ昹挰昰摤戶愰㐹㌰㌹㈵㙦㤲ㄲ㤹㌱搶㘶捤㥦㠶挹ㄶ㑣〰摤ㄳ㤰愳摣㍡愲ㅦ㤴慢㠹〲晥㠹ㅥㅤ㑢㄰㌰捡㔳㙡扣ㅦ愳改敡㜶〴㐴㡥㑡㤷㤲㍢ㄸ㤷ㅥ㐵㐹㈴㠴㠸昵っㄲ㠱㔷㌰㈵攴改攲㉥㔸愷㕤㍢〴昶㠸戱㈳㜶㌸ㅢ〰攵〰挸慡攳敤搵ち慢愹㑥攳つ慤㜰㕤㘷㔵㡢㥡戸戶戳㍥慤㌷摥戶㐱㜵愴㔱㔲㡡㘴戳㐶㑡戳㙣㌰挷敤愴㙡㠴㔲摣㠹戶ㄱ㔹㙥搳收扥㔳㡡扣〶挵愴㘸㈶㘷㝣㐰ㄱち〲扤戱㡥愲捦㍥㥢㍣㔲ㄱㅢ摡〰㈵敡愹愸㙣㈸づ〹ㅥ挷戵㤳慡㉣挵㑦攰敦㕤㜱㜶扥ㅥ戶搴㤸ㄷ㐷攳㥡愹㕡㙤摥㠵㤵㔰㌱晤敡㌶㘱㘹慣㉤搲㌰㡡㍢㝢搵晥搱昶愶ㄸ㌱㘶㐳㠶㐵㌲晣挰㘰㐳㌰㔷㉡愲㑡敢㙣㠸㕢摤㈸㉥昲改㠴㌴㕤㠵㠱挵戰㍡㉢搷㤴ㄹ搶戴攴㐷㔵㠷挶㘹㔱挹㔱挳㥡㕡づ愰搲㐳捡昱㌸愷ㄸ摣戰㑥搱㉤㠵㑢っ㄰扢㜱㙥愱ㄲ㈲戴摢ㄸ㠰㈷㠳敤㠳ㅤ散㐸ㄴ㍡愱㜵㐶〹㕡挸㈰摣搶㐵㤰㜷㝡挴㈸〴愹愵搲㍦づ㡢慦㍤挵昴扤挳戹㈴ㄳ㌳ㄱ挳㕤ㄹ搶〳㤰㥢㡥㑣㤲㡢㐶㤳㠰㜹㈴搹㤴搰ㅡ㑣捡㘸㘲っ搱攴昳㐳摣攲㘱㉣㙢㤸㙣㔳挳㍤户搰㠶㌶慤慤敦戲㡥扢㤵㕡扤㉡㤵㉡㑥㘴戵搲挸摢〲㕦敡ち㘰挴㑤ㄹ晢ㄲ㙦捡㜱ㅣ愵戸㘴㈲愹㜷扢摢㌸㡣敥㑡挸㘱㡣㐸昵㌱〰㤹攱㤶㔳〱戱㡥㝢ち戴て㜷㌷㉦㌰愸换㜳㄰㘹ㅤ㐵㤴㘵㜳戸㡦搷㠸㈲㉢㙥㑢㌵㥢昳收㍣摡散愹愲㘳㜶㔴戴㉤㜰㠴㜵㐶〲慦㔰㠰㌱搲㈳㜷㜰㤰摣愵㌸扡㝢改㔱昵㤸扢〴㔴㈸っ〸挶㜸㜹ち捡㘱㔷挱㐸㌴戸戵愶搵㉤ㄸ晤愵攵㙤㑣〱〸㠶㠱㘹搰愲㘵㘴攰捣㈰扦戹㠱㜳ㅤ㕡㘵㐴㐸搳挱㔴挶㈸㐷攱戰〷搲挰㑤㍣㐸㉦㜹㔰㐲攱ㅥ㜵㌱㉣戹㥢㌸敥攰〸攴昹㔷戴ㄵ㉥㤸㈱慥扦戸㝢摢㡡愷慡㔵㥡扢昰捦㙤ぢ慣攲敡㐶㘴㡥敥㘹扢㤴愵搶㐴晢敥挶戶㡡昸戲攰㠱搹㠹㘳㘶㔸㔹㔹っ搷愳㡢㕢扤㤲㠴晥㜳昸㈳㌶㝣㍢㙤收扣换㡢愸㙢摣晢搲㜹搷扢攰慡㜹改〱㙦晤㠱㐲㜰㠵戲㥦㤳㉣攵晥㡤㝦㉡㘹㌹晤㘷ㄸ㜱㉢搳收〰㑤〷〹挷㔱㈹㤲〶㘳挸㘷搰〹㙣昷挶慤〱搲挹㥥㌶㍡㔱㠲㘰㠷㔰摣㜳慦ㅢ愱㠸㥦〲慤㈴㤶攸㐸㡥㍤晦㉥㔸㕦㍣㠷ㄲ㈲ㅣ捦戱ㄸ搱慦㐷㉥〳㜵㑡㤰挷㔷㍣㜸㈱攴晦〷㑢〹㌷㙦挸㑥晦〵㘶ㄶ捦戶愳攸㕡愲攸㈷ㅤ㈸ㄲ扣〶愲昸昷㙥㘴㤲愴㌳㍣晢慡〲攱㕣搳捥〱昴つ扦昰晢㍦㍣㠰捥挵挴愱㙣㌴㠴摡㙥挲㜳挳㐴攸敢㌰ㄱㄸ扣㔷㈶挲〹㘴〴愳昸㤱㠹㄰晢㐰收㔱戰戹㠹挰搸㕥㠶㈱㤸ち戵愶摣ㅡ㍣㠱㕤攱搰㍦㜶っㄷ㙦㘵㠰㜸㍥㤴㔶㌰〳㡦搴㤵㥤挵ぢ愶㙦㍡㝢㔵昹㔱㕦㐲㤹昹㑢戸挹慤扡戰挷搵ㅢ搶愸㑥ㅢ昸㉡ㄲ㉦晢㡥㍦㘵㙢昷搷㠱愹㈸㐵敥㝢㔱ㄴ㠵搷攰㈹ㄱ㍣㌷攴㍥扡攷晢㐷晦昸昰攳㠷㜹㕢㉤愶㔵晤ㄶ攴㝢〹搹搳㥥㐰㔰㌷㜵㔱攴㜲㝥㤸㜳〲㥦㈸搹慢㌵㌹㙤晡捡ちちっ㈷挹㐶㠴㤷㈲捣㠸昸戶㠳㠹㠹㝢て㤱㠹㌹搱收敥㔴ㅦ㌶㈹ㄷ攱㐴㙡攲捡愷㤷㠴つ㐵㔷㐵搶愳戵愹晦㄰慡攸㔵㑥愴搵㑡攴愹㤳㐹㠸ㅦ戴敢扡㠳搴㜵搱㐱㠶㘱晦㐴㑡㈱晥㐰ち㐹ㅦ㘴㜸㈱㐰㐹愹㔳挸攸户〲㘴㐴搶摡㐳扣昴〷散〸〱搹戸昴搷攳㐷㉣搸㐵㘰㌱昱挵昷㝡愲愵㉤㥡愸㈶㠶㙡㤵㑤戳㠸㡣㍡扣戰㘰㌲㈹㕤㐲㈶㐹晡〱攴戶散㡥攲㑢㠶㥣㈸昰ㄶ㌱戶敥搰搷㔶㜲敥㜲敢戸昹〱㍤㔳㔰ち挳摤捤㘲ㅣ㐸㔵㡣㉥㙡㕡㡡㡡〸㠷愳㙣愳搳㐰㕣〵㥤攵敥挵愹ㄴ挱㍦㝥㈹挴晡昱收搰㤷户搷㔰挷戹晤㔸㈰㝦戰扦慥捤㘰㙣扣㤵ㅣ〳〹扢愵㔶挵攸㝡昸㘹㜴攱愲㜳挲㘸㘶搵戳㌸㠸㍦〹㘷昵㘹ㅤ晡㥦搱㙢挵㔹㘷搸㥢㘱散ㄶ晤㝦ㅦち㌶搵晦㠲戱㌷㠵挸晢攳っㅦ㜴挶㑦㌶つ搹㜰㐷攰搹㐶昰㐶ㅤ㡣つ㤵㘵挸㍢捡㉤攲攳搵愸㕡㐹㜰昸扤昲敤㔷㈳ㅡ㝤㘹摢づ㜴ㄵ㠰㡣つ改摦㠵〸敡摡扦㔵㙥㈵愷摢挲㠷搱㜱捦〹扢攲㝢㠱㘷㠵㘳㡢〸晡㡥昱摢㌳ぢ㌶捦㤴昸㑥扢㔰扢ㄱ㍢㌱昸〰晡㥣㥣㠷挰㍥㈹挳搷㉢ㄶ挹挸挲搶㈲ㄹ晣づ㘹㈴ㄵ㕥愲㜶〸㉥戳敥愹㥢㌵㝣扡㍡て㕦㘷挸愲㙤愱散㈲㡦㜳晢つつ㙥ㅤ敥㘸㝤〸晥㈰㔹㥢㐰㜰㑣㉤攱挳て㜰㕦摢昷愰戵㙤扣戶㠰㉤㝢昳戹㤵昴㘷㠰搳慤扤愵㤵㘴昸㑥㝥㤱㕣㌲捡㠴戸戴㝦ㄸ㝦户敥愰攵㘸愳愰昳昸㠳㙥㍡挲挶㙢㜰㥦㙤㈱晡㝤ㄶ㕤挵ㄴ〱㝥㠶ㄹ㘷昸㈰攸攵㈳㉢㡡㙦㘲㔹㘴〰攴㜳㠵ち㐰㜷慡㝥㝡㈳慡ㅥ戹㥢㍤㤱〴捦ㄸ㈴挷㤲昸㍡ㅡ㜲扢愲㘵㠳㈵戸㙣愱捥ㄲ挸ㅢ㐹て攴㜳㠲㘷〹㌵㤱慦愲㐳㘳㈲㌶㑡扢㑦攴㉢ㅢ㑤㐴搰ち㔰ぢ㑤㡦㍦㤲㘸ㄱ愳㠶㙡挳㈱㜰〹㍣㠰㤱㐴㤹っ㔳㍥㔲攸ㄴ愲ㄸ挳㜳㐴ㄱ搲㙦攳扦㉦ㅦ㝥攱㜹愶扦ㅦㄶ㑡㈲愲慡㜵ㄵ㤴㠸㙡ㄵ㕦㐸慦挲㐷㘹昷㔵㝣㙥愳㔵㡣㔰㔸㜲㈶㐶〸㌰搴㈷捡昸愳㔶㔵㐷㠶ㅢ捡㥦㌸㑢㠰㕦换㉣㐶㑣㤴愸扥ㄷ㤰㐱㕦敥扣㙡㜵ㄱ㤹愴慦捥㡤挸昸捡㐷ㄹ㑡扣ㄱ㐹愷㑥㈱昲捡ㄶ㈲昵㔸㜴㘲㜷散戶㄰ㄲ㔸ㄲ㍦㥢敤㉡摢ぢ㍤㠶晡挵㈷ㄳ挴ㅣ㍢㤶㝣㐲愵挵挱㈷㄰㐶㘴㥡㤲㤰戸㤱攲ㄳ㐹攳ㅦ晤戸改㍢㐵〵ㄲ愸㈷㙡㑣㠲㔳㡤㥦㐸ㅡㅦ挰攷㔹慡㑤㡥㔷〹㤸㕥㑥ㅡ㤳㌰㔵攳挷㤳挶㝦㍢戰户搱㌸愱挳㘸㘴㥤㐴㤲㘱昴慡㘳㐰敡㔳敤㘱㌴搷㉤㉡搲〱㉢㉡愶〸㔵㌱攴㥡㔲愵㠳戸ㄵ攲攳㘳改㌹㕣㜲挲㕤㄰㐸摢攸晦㤹㜰ㅣ㤷㥦㘶捤搰挴户搰㙢㠸㍡晢㠶㝡㘲攷㠲㌵敦愳愰摦㍡ㅥ攰㜰㔵摤㔶㈴〲扢㈰ㅦ敤敦㈶摥昹っㅢ戲戹ㅦ㐹戴㑣攳㘵㤲摥戴㠸㡡戰攴挵挷ㄲ捣收ㅥ㙢搲㡣昱㈸㤰〳㌱〹挸㡣昱ㄸ㘰ㄴ㤱搹挳㠲ㄱ昲扦㘲敥㡦戱攲攳〴㡦〳㤴〴㤹㥤㜴㔰㜸〲㘰㌸昹㍦㔶㡣慤㈹挷㠹㈶ㅥ㑥㕥㤶㈶㈳攳㤳散昰㈹㠰㍥昸㜱㐵㑣㠴㈵攳搳㈸㐹扦㤴㠲㐳扤昴㌳慣昸㉣挱攷〰㑡㍡㈷扢攵㕤攳㥡㝡㔴㘱㥦㐷㔷昱ㄸ〱㝥挶ㄷ攲っㅦ㜴敥挳晢扡ㅢ捤㍣ㄳ㈷㕦昸㈳收搹昲㈹晦㕤昸㌴㝦㥤㡢敥挳晦㤹㐴㔷ㄶ㝥㕥㝢㙦㙦㘳㤱〹㘸㥣慢摦㉡㌶晢㌵㡣挳㜵㌵㐳㈹ㅣ㤱㑡愵愸ㄵ〴昱捤〵ぢて㙦攰㕢づ愹ち㈱㐸〳慡挲㡤㉢づ愳挰昸㈲㥢ㄲ挷挴㤳昱㈵㍥ㄱ戵㙡ㄳ扦ㅣ㘷昸㈰㠸㔷搵晤挱戸㝢昲㐲攲㕡㔵搸㙤㉦㈴晥㔵挵㑡晡㠵㑦㜱㌰㠵㉣㘴㕡戵ㄲ㤱愶㘸攸敢挸っ昵つ㜳㙥昷攲愷㕤ㄴ㤵戳搵戳㘷㕦ㄹ捥㡦㕤㥤扦敦㠳㠳㑦扤晣㥢㍦㍤昹攲㐷づ晤昵㕦㑦㍦晤攲㥦㥦㝣晥㕦㍦㕦㍥昴慢㘷㥥昹攵摤摦㝡晥㑦扢慤㙦㙢㍦㝥㘵敥摢㡦㑣㥥㝦攴㈱敢昴㉤㐷ㅦ戹晦挱㝢㈶ㄷ㉥ㅢ敦敢敢敦扦㜹昴搷㔷扤㘳攴戱㠷㥥ㄵ扦昸晤㤵慥㔰换挵ぢ㕡愷挱㘵慢㘹㝣〳ㄹ㑣㠳㌳㝥㐳愷挱攵慡㡤㕡㡥㌷㙡ㅡ〵㐵㌸㌷㌸〱㔵㘱戶㔶っ晣〷㌳㔴戳晦</t>
  </si>
  <si>
    <t>Jednorazowa prowizja banku:</t>
  </si>
  <si>
    <t>Całkowity koszt budowy, pln:</t>
  </si>
  <si>
    <t>kredyt:</t>
  </si>
  <si>
    <t>udz.wł.:</t>
  </si>
  <si>
    <t>=</t>
  </si>
  <si>
    <t>okres spłaty, lat:</t>
  </si>
  <si>
    <t>roczna rata:</t>
  </si>
  <si>
    <t>roczne oprocentowanie kredytu:</t>
  </si>
  <si>
    <t>roczne koszty budowy:</t>
  </si>
  <si>
    <t>w tym finansowane kredytem:</t>
  </si>
  <si>
    <t>Zależność wykorzystania powierzchni od stawki najmu 1m2</t>
  </si>
  <si>
    <t>Rok 2022 - rozpoczęcie realizacji inwestycji</t>
  </si>
  <si>
    <t>Rok 2023 - zakończenie prac budowlanych, wprowadzanie przyszłych Najemców</t>
  </si>
  <si>
    <t>Rok 2024- zakończenie aranżacji wszystkich powierzchni dla Najemców</t>
  </si>
  <si>
    <t xml:space="preserve">Zależność stawki najmu 1m² od kosztu budowy 1m² </t>
  </si>
  <si>
    <t>1. Wskażnik kosztów realizacji budynku, uzależniony od zakresu wykończenia i wyposażenia budynku</t>
  </si>
  <si>
    <t>2. Udział kapitału własnego w finansowaniu inwestycji</t>
  </si>
  <si>
    <t>Regresja liniowa i wielomianowa</t>
  </si>
  <si>
    <t>x</t>
  </si>
  <si>
    <t>y</t>
  </si>
  <si>
    <t>㜸〱扤㔷捤㙦ㅢ㐵ㄴ摦㔹㝢搷扢㡥㤳戸㤴㠲㑡ㄱ戸㙤㐲㐰㐹㡤扦昲㘱搴㐰㥤㑤搲㠶㌶㑤㐸搲〲㐲㘸戵ㅦ攳㘴敢晤㠸㜶㜶搳㌸〸㈱戸㠰戸㜳㠱㉢㈷敥愸〷〴ㅣ㑡㠱ぢ晦〳ㄲ㐸㐸〸㜱攱挲慤扣户敢㑤散搴㐴慤㠸ㄸ㈵捦㌳敦扤㜹㌳昳摥㥢摦扣攵〸挷㜱昷愱攱㉦戶㌴㜶㥥㕥㙦戳㠰㍡㐵挵戳㙤㙡〴㤶攷戲㘲挳昷戵昶㌵㡢〵㈹㔰㄰㔵ぢ攴㑣㔰㤹戵㐷㈵㜵㠷晡っ㤴〴㡥㤳㈴㤹〷㌹ㅡ挱晦㝣㌲㤰㜱㔶㉥つ㘴㐳㤹㕢搱㙦㠱搵昵挰昳改㐴攱㘶㍣㜷戶㕣㉥㤶㡢㤵㝡㘵慡㔸㥡㈸㈸愱ㅤ㠴㍥㥤㜵㘹ㄸ昸㥡㍤㔱㔸つ㜵摢㌲慥搲昶㠶搷愲敥㉣搵㑢㔵㕤慢捤㤴㙢㤳㤳捤㝡㝤㈶〷㑢㜳搷㤵戹㔵㥦㌶搹㜱搹ㄴ搱收㡡㌲㔷扣㑥㠳攳戲㤹〱㥢㘰㜲摥㜳㌴换㍤㈶愳〲晡戶㍣㑦つぢ㠳㐰愹㙦戹㥢㐵搸㜶㡦愳㘱㌴㕤〴㥤㥢㥡慦㔰摢㕥愳㑤〹㘶つ㌹㌷ㄸ㔵㐲ㄶ㜸捥㜵捤愱㌹〷ㅤ㐸㝤敡ㅡ㤴つ㌹ぢ扢〶戵㍢摡㑣㜲㘰㉡㉡愵戱㌳散挴㐱㕣㌲愹ㅢ㔸㐱㝢㄰つ慤㘹敥㈶㐵ㄵ挱戹ㅣ㕡㈶㤷㑥㤳㜴㥡㑢㤱搱㝥㝢㡢㐲搵搹㔱搴挷㄰㍥搴㈹㝡戶㠵㈹㜵晥㤰㝤㡣搹捡㜶㜰㤵晡㉥戵㍢㑢㘰㌰挷て改㐵㍥㡡㐳戱敦慣攴㐰ㄸ㈸㌲搰戹〷㜸ㅡ㕣㠸挸攸㌴㔹〶㈲㘶㠱攴㕢ㅥ摢ぢち㝡㘸㝡户摢㠵戲㔳㤱〷㔰㥥〳㐲搲㝦挱慤敡㌶㠰㈲㕥搵㜸㔵攷㔵㠳㔷㑤㕥愵扣摡攴搵㑤㕥摤攲㔵㡢㔷㙦昱㙡ぢ㜴㤲㈶㘵㌲㝣愷晤昹㜹攵捤㍢㕦晣戶昰㘹晤晤慡昹晢攳㙢〲㙥攳攱扣㡡攷㉥㈸㕢ㅥ愳㙥攴攵㜱㘷搵㌲㕡搴㕦愷㜸戳愹戹ㅥ㘸〱㍤搵ㄵ昶昱ㄵ㔷搹挲㐰㥡攷扡戹捤㠵摤㠰扡㈶㌵㔷㝤㙦㥢晡㐱㝢㐳搳㙤晡㐴㡦㑡〳愰㘲㠷㠲攰㜴て㝢搱㌳㐲愶㜸㙥攰㝢㜶慦愴㘱敥㘸㤰㙡收戲㘷㔲㉥㤵㈲㠴攳㑦㜶㕣扥戰〳㠹㜵㐵㜳㑤㥢晡㐷挲ㄱ挱扣ㄱ戳搰㌸〱〳昳攸㈹㠴ㄸ㈵㐷ㄹぢ昸挲〴㘷搱昳㔹㉡搵㙦搱㉢ㅡ摢ち昰摣㐷ち㌱㔳攴㈱㈴挳㐰〴㡣晢挳㘴攸㘹搰㈳ㅡ搱㠹㐱㑣㐲㌳づ㘴昰昲愶㉦㐴ㄷ㔳㜰收㈹㌳㘴扣㜹㑢㄰㠴㕤ㄱ㝡㜶〸昷ㄵ摤㑡㜷㠳㜹㉤搰㌲捥慡〶㌷㌷ㄸ㠲㠹愰㌷摥㌱㤰㑢㠶搱〵㑦〶㘸㉥㥦っㄲ慢㠳〷っ㌰㝥㌲ㄹ㜵慤戱㙦㍢㕥㑡㡥搶㐱挳㜱て慤づ㐶扣挴㘴戶㌳〲㝢昹愸摢㘵㙣㈰㘲挴㤶攰散昸昶挰㥢㤱〲搴㠸㝥㘲㉡㘲㍢摡㝤戰㑦㜰ㄴ㈶扡㈴ㅥㄹ㤸㤱㐳昷㍦挲〹㐳扦ㄱ㔸㌶㉢挲㘶㉥晢㕥戸㡤㜶晥敦昵㡥㙢摦戸昷愸扤昱搵愵戸昳昷晤攸昷愳扢昱昸搲㝢ㅤ晥捦摦㘶㘵㐴㌰昱〴捡戱〰挰㕦㙣昲㘳㐰戲戱㔴㐶改㠳挲㘸收扦挸〴〴扦㐷〱㕡扣扥㌹㘷挵搰㌷㝣ㅡ㍤ㅥ㔲㌴㘸㙦搳㐱攷㜵捦㙦改㥥搷挲っㅢ㡡㐶㙣㡢搲〰攱㜸愰昳〰㘱㥦㄰㤲㑡昵㐰㙤ㄷ㙥㈳㤰㡢㜸户〶ㅢ戶㕤㐸㉣㌲昱㈹攴㐳㐲㐰摣挵㌳搰扦㌸㔹㉣捣㠵㘶摢愵慤㠲㙥㠵㍥㈲晡㠵〲扣㠶慤愰㝤摢昵敥㝤昶摤㠷㠵㤶戶㙤〵摡扤て挲㠲攵摥愶昰㙡晡㥡㔵摣戵搹㉥昹ㄵ扣㠴㠰晦㜱晢摤ㅦ昷㝥扡戸晣攵㈷敦㤰昹昵敦㌹昲㑢㐷㜰ㄸ挲搳〸㄰㐷㘶㉢㙥㍣㝢捤搳捣㐵捤㠰㤵㌲㥤㐲㐹㔲㍣㘷ㅢ㉥扡㥦㐷㌴㔲〰㌹〱㤱㜷㉣㤳晡ㄲ㌲搶愱㈰㑢㈳㡥㠹ㄱ㐲㌰戸㔰㈹㑥㄰〶愴㝥㙢㉤㈵戶㐶晡ㄴ㝣㑢て搸晦攳戵㤹㔷㄰㉣戳搹攸㤹㝢〶扡昲戳㐰〸攲ㅣ㥥攷㤰㐲〱㔸昲㔹㈰〴㜳㉡㔱戸〳晤㙣昶㐹㤴㥤㐳㜲ㅥ㐸ㅥ㙤愱㘹㜱〴挸愸㌲愷慣愹㝡㙤扡㕡㌱攱㙦扡㕥慤搵㉡㜵摤愸搶㌴戳㔹㥤㥥慡㤷敡愵改㡡㌸扡慦慡ㄹ㈵慤㕣㉡敢㝡扤㔹慦㤵愸㔹慦㤷㉢攵㤹㈶搵愶敡㘶慤㍥愵攷㜱㤷ㄱ捣㍦〷ㅤ㜹っ㐸扥㤰戰㥥㐷搶ぢ挸挲慤ㅥ搲挲ㅤ㐶ㄹ㌴㠱ち捡㥣摡㔳㉦㠹ㄷ㠰㍢愸挶〵㔴散㙦戱〸慣㈱㔰散㝡〲挵ㄷ㔱つ㜸㤰㙢つ搳昴㈹㘳㘲〹㔸㈷㠰搵㕢㐶㠹㘵㘰攷㈲㑤㐰㑣㈸搲㤸㔸〱捥㠰ㅡ㈷敡〶摣㡡㍣晡ぢ户㈴ㄱ㤲㡤敡ㄱ戱〶愳㔷挷摥晡㉦〹晣㜶挳㙦㠵㙣慦㍡㜶昶㕡㔵㥥〴㝢㔱㤱㈳㐹㠰挴㥣㠰㑥㉢ㅤ挲捥扥昵㘵㜷㘵㠶㔸㜴捡㔹㘲㜰〸愸昰㌷扣挶㝥㜵㜸㈲昲ㄴ昰挷㤳㐷㜷昴㠰搳搰㤹㘷㠷〱㥥㍤㥡戶攲敦捦㠳㤷㈵㜶捡㌸㍥搱愷づ㐶㕤㙦捡㤹〳敥㤲换愰㑥愱㘶㘲㤱㜱㠴愴昹ㄴ戹搰敦㈴㥤㉡㌰㜶㜳㘲㘳挱つㅤ昴昴㤹㍥户㘳捥ち愲㉦愲戸㉣挴慣ㄵ㘷㠰〸戳㈳敢㈳㔵攱〷戸昵㡦戶づ㍡㍡戳㠳〷㔴㔵㑥挲㔵㌱ㄳ戳昲㑢㐰挹ㄸ㄰っ〲㤱㌱攷挵㡢㐰㘰愱攵㤱㉡戹ぢぢ攱㘲㌸㍤㉢扦㡣㍡㤸捦挸挲昹〴昳㍡㤱ㄳ㡣㉢挲戳㡣㜰㈸㈳〰捡㠸㝣攴ㅢ搰敥ぢ㕥㕦㜷〴て㠰ㄷ敥敡㈸慦攰ㄷ㐹挶㔱㌵晣㘶㤴ㅣ搵愶敥㘶戰戵晦㥤〸愷㤳攰㐳㜱ㅥ㤴㜰㤳搸〸㙥ㅤ慤捡ぢ㐰ㄲ敥㌰慡攰搱戰摥攵㠶㔱戴㍦ㅡ昸〷搶㙦㑡㌰</t>
  </si>
  <si>
    <t>㜸〱扤㔶㑢㙦ㅣ㐵㄰㥥㥥摤㤹㥤搹㕤㍢ㅢ㈲㐰㈱〸㈶㉦っ搸㕥挵㜹㐰㈲ㄱ㈲㝢散㌸㈶て㥢搸〹〷㠴㐶戳㌳㘵㝢戲昳戰扡㝢㙣慦㡦ㄱㄲ㔷㑥㠸搷て攰挲㠹〳攲〴ㄲ昸㠲〴〷戸㜱㐲〲㈱づ㥣挸㈵户㔰搵扢ㅢ㜶ㅤ摢㜲㠴㐵㐹摢摢㔵㕤晤㜵㑦㔷搵搷慤㌱㑤搳ㅥ愰搰㍦㐹㤱㍡捦捥户㠴㠴愴敥㘶㜱っ㠱㡣戲㔴搴挷㌹昷㕢搷㈲㈱ぢ攸㘰㝡ㄱ㡥ぢ挳ㄳ搱〶㔸摥㉡㜰㠱㑥㠶愶㔹㤶慤攳㌸㠱搰慦搶㔵㙣㥡㔵㉤㘲戳攰㑥捣㌶敥㈰敡扣捣㌸㡣㌸户摢㜳㉦㡥㡤搵挷敡愷㉦㥣㝥愵㝥㙡挴㜱昳㔸收ㅣ㉥愶㤰㑢敥挷㈳捥㕣摥㠸愳攰㉡戴ㄶ戲㈶愴ㄷ愱㜱敡㑣挳㍦㝢㝥散散戹㜳㡢ㄷ㉥㥣慦攲搲摡つ㜷㘲㡥挳愲搸㉦㑣㤳㌰㘷摤㠹晡つ㤰晢㠵㔹㐲㑣㠴㥣捣ㄲ㍦㑡昷〹搴愰戳ㅤ㥢㠴㈰愲㈰〰昰㈸㕤慡攳戶晢づㅡ戵㔷敢攸㜳摢攷㉥挴昱㑤㔸戴㜰搶㘰㜲㑢㠰㥢ぢ㤹㈵㌷晣〴慡〹ㅤ㈰㜰㐸〳㄰㠳挹搴㝡〰㜱挷㕢㔸〹㑥㈵愷㈲㜵づ㈴敤㈰捥㠴㤰捡㐸戶〶〸攸愶㥦㉥〱戹ㄸ挹㜴ㅥ㠵㕡戱挸㡡㐵慤挰㑥㙥户㌷ㄵ慡捥㡥㔴㥦㐲戸愷慦攸摢ㄶ愵搴昱㉤昸ㄴ戳搹ㄵ㜹ㄵ㜸ち㜱㘷〹ち收昰ㄶ㍦㜵㐶敤㔰㍣㍣慣敥〷㔱愰㔸愵㔳〷昴㌵戴㄰戳改搰㙣ㅢㅢ戳㡣捤㘸ㅥ㙥㐴晥收㕤愷改慦㐴ㄲ㍢戹戳戶㜹搷ㄷ㈹㉣㘵捥㥡搳捣挴㠶昴㠳㘵愷㤱㠷搹㕡换慥搰攴㉡㌶慣㜸て㑢慥ㄷ㥤㠶㜴捦搷扤㠶敥〵扡ㄷ敡ㅥ攸摥愲敥㉤改摥戲敥㐵扡㜷㐷昷㥡攸搳ㄵ慢㔴搲㍢㘲户㝥昹昴㜵敢〳昷换敦㝦晡收晤㘱㔳ㅡ戴挷扤ㅤ㌹ㅤ㡡攳㉥㘷〲㔲ㄵ㠲攱㘴㉥ち㥡挰攷㠱捡ㅥ挲㜹改㑢㜸戲㈷㈷㠶㘷㔳㜷㤹愲ㅣㅥ敢戵㉥㑥慤㑢㐸㐳〸攷㜸戶〲㕣戶ㄶ晣㐶っ㑦昵戹㡣㈳㡦慣〲づㅣ敥㌳㕦捥㠲㕣戸㔹㉡㜹ㄶ昷㡦㡣㠷慢㍥收㘱㜸㍤ぢ㐱㉢ㄴㄸ搳昴㐳㥤㜸㑣慤㘲搶㕤昱搳㌰〶扥㉢㔷㌱㑡㉡戳㡣愲ㄹㄴ戵挷捦㉦㈲㌰㕢愵㌳㤲㡦㌰㤲换ㄹㄷ㠵挲㜶㡢㕥昱挵戲愴敦摥㜵㤰搲挸ㅥ愴收〰㌶〶挵㝤㉦改㝢ㄸ晤㤸捦ㅡ㉣㘰㈱㠳㔲㠲改㝤㝤㠹ㅢ慡㙡㡤㘴ㄲ㐴㘰㔳㔹捥㘰㄰搶㑤散挵㌹ㄶ㌳ㅤ㉢慣换㐹㕦晡愵㘴捥挷戲㤶㠳㌸ㄱ晤㠶㍢〰搵慥慡慡扦慢㄰㕣慤慢㜴㔱〷晥㌵㈰昸愱慥搶戳挶㐳散昶㔲戶㕡㠷㠰摢㍤㐲ㅤ㔰戶㉥㘴戹愳㈱㕥㑤㜵㝢挰㉡捡搰㐶挲㙦愷㡢〹㉦㤴〲㔲㡡晡㙢户㈶挹敥挷㠷晢挴㠳愲㐴户捣㕤〳㜳㘲ぢ㌹㈸ㄲ〹ㅡ户㘴ㄴ㡢㍡㙥㘶㥡㘷昹ち攱晣摦敢敤搷扥㘹敦㘷㤴晣㝣〹扢㈸昷ㅦ㉣㉡昹攳搲挷ㅦ㤱㝣搵戱晦晡㜵搹㈶㝡㌳て㤲ㄷ扤づ攸㥦挴㝥〲㥢㜲㝢搴愶搱㐷〷搵捣ㅤ挶っ㈲扦挷㘱㘱㉡摦㙡㌲ㅢ㌴ㄶ㌸愸㥢挵㔲㑡㙢〵〶㤲户㌲摥㙣㘴㔹㤳㌲㙣㔰㘹㘲ㄹ㐰ㄲ㔷㔷㍡户ㄳ昵ㄹ㘳㠵㐲ㅦ搵昶㤰㍡戱扣㐹戵㌵㌰ㅥ挷㑥ㄷ㔱㤸捦㤰ㅤㄳ〲攳㙥ㅥ挱晥㙢攷敡捥㐴ㅥ戶㔲㘸㍡㡤㈸攷挸收捥愸㠳㔷㘵㔳戶搶搲㙣昳㤳敦摥敢戹〳愲㜴つ昰㑡攵㝥㔴㕦㡦挵㍡晢ㅤ㑦㠹〸晦㍥扢㝢昲挸㥦搳㔷㍦晢晢摢㜷扦昸晣摥㠷散户捥挰㔶ち㉦ㄲ㐱散㥡慤戴昱昲戵捣て㉦晢〱慥㔴敡扣愲㉣㌷㑢㔶戰搰㜹㡤搸挸㐵收㐴㐶㕥㡤㐲攰ㄶㄹ收昱戵㔶㈴ㅥ㌳ㄵ㐳〸㉣愸㠲㘶ㄸㄵ㙢扢戵㘶扡㔸㈷戶㜹つ捥㍣㠲晦搷㥢攷㔵晡㤴换敡㥡㝢づ㌷㘸㍦㡦つ㈳㥥愳敦搹攲攰愰挹㍥㡡つ愳㥣敡㍡ㅣ挷㝥戹晣㌴㡤ㅤ愳㠶昴ㅡ㘱㤱搴〸㡦愴收愸㍦散㄰〰㐹㡤扣㔵㌴㑦㤰收㑥㜸㝤てㅢ昳㈴㕡〷扣昶㑢愷晤敤收ぢ㘸ㅡ㐴挷㥥敢挸ㅣ㈲㌷戴㘱摣挷挳㤰㠳㄰收㡢㘸㍡㠸愶晥昷㡥昹ㄲ㥡慢捡ㄳ搹ぢ㕦㔳挲㝣ㄹ㉤ㄵ慦㥤㌴ぢ㤸愱㌵摡㍢㙤挹㘲慣慣ㅥづ收〸㙡㙦っ扤晤㕦㤲改㥤㜱摥捣挵挶改愱愳㔳㘷散㔱挴㔳慦ㄱ换㐲㔶搴ㄸ改㔴㘲㌶愵戴㑤㐹㙣㔳昶戲ㅦ㜷㑡挰ㅦ㜶㐸挰捡㍦㕤ㅡ愶㠲</t>
  </si>
  <si>
    <t>㜸〱捤㕡㔹㙣ㅣ攵ㅤ㥦㔹敦㡣㜷搶㙢㝢㜳㜰ㄶ㤲㉤㠷愰㌸慣攲㐰ちㄴ搲攰㈳㠷挱戱ㅤ㍢〷㤴搰捤㜸昷㥢㜸攲搹ㄹ㌳㌳ㅢ㝢㈱㔵㈹慡搴慡㤵㄰攵愱㉡㤴扢㈷ㄵ㙤ㅦ摡搲搲㐳㔵㈵㔰ㄱ㑡愵㔶攲〵昵愵㐲愰㍥ㄴ㈱摡〷挴〳ㄲ晤晤扥㤹㕤敦㘵㈷㤸㈰昹㡢昲昷㜷ㅦ晦晢晦㥦㔵㔴㐵㔱㍥㐲攱㕦㤶㈴㉢㤷捤㔴㠳㔰㤴昳㈳㥥攳㠸㘲㘸㝢㙥㤰ㅦ昲㝤戳㍡㙥〷㘱ㄷ㈶攸〵ㅢ攳㠱㔶〸散晢㐵慡㜰㑡昸〱㈶㘹㡡㤲㑡ㄹ〹㡣搷晥㘷㙢ㄵ㠳慢㡣㈴㐰〶戳㤴㐳㈳挳㤳戳㈷戱昵㑣攸昹㘲㕢敥㐸戴挱慥挱挱晣㘰㝥挷㉤㍢㍥㥦摦扥㉤㌷㔲㜱挲㡡㉦㜶戹愲ㄲ晡愶戳㉤㌷㔵㤹㜵散攲㥤愲㝡挸㥢ㄷ敥㉥㌱扢晤㠶㔹昳挶㥢〷㙦摣戹搳扡攵㤶㥢㌳㍡㜶㥥ㄸㄹ㥥昲㠵ㄵ㥣慦㍤扢戹攷攴挸㜰㝥㐲㠴攷㙢捦ㄴ昶挴㤶愳㕥搹戴摤昳戴愹㐶〴摦㌰㉡㡡㌶㈹㈱㠴㙦扢㈷昲戸㜶ㄳ愲搱扡㈹扦ㄷㄸ㉦㥡㐱㌸㈲ㅣ㘷㕡㔸㝣㘰愶㑣㥣〹㕦戸㐵ㄱ昴㤵昷㉣ㄵ㠵ㄳて〷愹昲ㄱ搳㥦㌰换㈲挹㑡㝦㌹愲摢㔸㐹戸愱ㅤ㔶㝢换㠷〳㌱㙤扡㈷〴愷㘸攵㝤ㄵ扢㤴㑣慡挹愴搲㜵㑤愷换㐸摡攴昷晡挵㤱㌹搳て㘵㡢㔴ㅢ散㌴户㠱㐳攴挵㥢慥㐵㉥捡戵慣㈲㤹㘶散昲㥤挲㜷㠵挳㐳昸戶㠱㤶㐹ㄲ㈷ㄱ敡敢挸愹扤㠶㠴㔱㝢㘲收攷㔳㜸㡡㘱㄰愴〱昴ㅥ㠰慥㠹愹㈳㐶㠶㕤扤〰㙡昲㝦㄰㥥挶㈵㥣㤳㈸㤸㠹挲㙣愲㔰㑣ㄴ㑡㠹㠲㐸ㄴ慣㐴攱㐴愲㌰㤷㈸搸㠹挲挹㐴㘱ㅥ㜳㙡㈵搵摤㥤㠸换ぢ摦㜹攸搸ㅢ挵㝦敥㝢昲敥㌳㘷摥㉦扥昹慥㑡㜹㤱㠲搳㡦㡡㤱〵搰㌷戰㙢㙣㝡摡搸挸慥㑤〰慡晡づ慥挰㙢ㅣ㥢㌰昷扦扥㘷换昸㔳㝤摤户扦晦敡挳㉦㘵㉥挰昰挱昸㌹愳扥戹〸㥥㔸㘶户ㅤ昹敤晣㜷㜶㌹㠳㤸㔹㍢慤㥢慣挱挱搲捥敤收つ愶㐶㠴㥣㉢㜵㌷㘳㙥挶㍡㙡扢㈵㙦㔱㤲㍢㘳敤戵㥤㔰昸戲搱㙦攱㑦挴戲戲摤㙢敤㔹㠲慣ㄷ㈳捥搸㙣㡤〸㍦㠴㡣㠴搵㘵㜶戹㙣搸っ挴㜲㜳㈰摥㝢搸慢戸愵攰㌳㥤〷㘷㐲㌳ㄴ㤷戶㡥㉤㙦搲戶㙣〶昲㈳〲㜹愵㉤慤换㡥㤸㑥㐵っ㉤搹搱昰攵㉤挳㤰㈴㙦㜶攵搱扤扥戸慦㍥摡㜶愳㈱攸摡㔳㜲敦戶㔷㐶㐳搱扤㜲㈳㜳㕥㈰㕣㜹扤㠱昲㤴㕤㥣ㄷ晥㡣愰愶ㄶ㈵昹搴ぢ㌸ㄴ㡢昳挰愴㡢㠷㐲㐰㑢㔷㌴昶ㄲ搱挲㉤㠹ㄲ敥扢〰㉣㔷て㤹戳㡥戸戰㘹㑡㜴㈶〶㉥㘹敡摥敢ㄵ㉢挱㠸攷㠶扥攷㌴㡦っ㤵㑥㤹㔰㈱愵〳㕥㐹㈴㘵㔱㈲愸㉡㕤㕤慡慡㕣摢㐹ㄶ戹㜷㐰㘹㙤㘰ㄲ敡㠴搵㈷㌷㌰ㄱ㈷㜷㤴昲晡捥愸㌴㌰ㄹ攷㝦㙥搵㥢㌴㌲㈱㘷㙦㕦㜵㜶〷㈶攵愲㡢㥢〵㉦㍦つ晡㠰づ㡥愰㔴㈶慥㕡㜹换㘵扥㍣换㑤ㅢ愸㐲挳捣搹慢㈰㑤㙥㕢攷扤㑦㜷㜲㈲戱㈹㝥晤㥥㔳㌰ㄴ晢㑤户攴〸㝦㔵户㐲攵㡤㡣ぢ〹㉥㈲戸㤸攰ㄲ㠲㑢〱戴户愱摦㔶挴㈸昵愴扡愴㔶戵㐵扢ㄴ捥改㜳挲㍥㌱ㄷ愲て敥㐸㉡㐵㜴户ㄵ攳㌲㜴ㄹ㤷ㄳ㙣〱㐸愷ㄵ㝤㉢㈷改㘹㈳挷㍦㥦〵攸慦㔹捡㕣挴㤹㘹㐵愳ㄵ昸昸戶㡡㑥㤰㈱㑤㈳㝣㤷㐰㉢㘳摦愰慢慢ㄳ㌶昶㥢挱㕣㐸㐱㕣㜵㔰㕡愵㉢戸改㤵〰㤹慢〰㈶昶ぢ〷㘲㝣扥摣ㅥ㡤〶敥慣收㤵㈶攸挲昲㑣搵㉤捥昹㥥ぢ㑦㜰搴っ捤愱㈲㝣㠸㐰㌵昵昲戸㌷㔲〹昵昲㝥ㅢ㝦㌲攵㘹戱㈰捣㜰〴㙡㍡散㉤㡦挳晦㤰㝡㜴慣戴愴㤵㈳搷㘱㔴〴㐵㠳㍥挶ㄸ搴搲㤲㡥ㅡ昴㙣愶㑣㐵㈳㤶㐲㙥摤㕤㥥㌲攱愳㠴〶㈶つ挸㔵㔱㡤㉢㝢㘵㕦㙤㜵㍡㙥㘱㠷慣慣㌶散搲㈳㍢愲㥤ㄴ㜲づ㉣㈸㙣㙡㌲㠶慤ㄲ㜴㌸戴㥤㈰ㅦ愳㌷㍦敡挱〷ㄵ搲ㄷ㈶摡㜵ㅤっ愶慦㑡慣㔶㐱愷㤳㌲㔹㥣㡤戶挵㔵昶昹㕥㘵㠱㡥捡昹摡㠷㝢㈹挶搵〰㑦晦昷㘷户㕥晤攴㉦㍦㡡晦㝥ㄵ㈲㈴㡢㐱ㅦ挵㈰扦戳㠹㍦戲ㄸ搷攲㑦㝡戵㌱㡤ㅥ㑦㐷㑤扢㠲㍦㐵㐶捤㤴昱摡㐳扥㤰づ㘲㑡㌶慡ぢ愲户㝣搴昳攷㘷㍤㙦㥥挴敦㤳慤㘰㑥㠸㤰㕥㔷㑦散㘴戲慥慡㙡㔷㔷㤳㝦搵攰㥥搱㕦搳户〱昴づ㌹㑥慥戶㘳愰㕦㡦慥㉥㔸ㄴ㍤㡦捡㙤㍢昳戹攱㑡愹敡㡡昹摣慣㕤昱扤挵㙡敥晡ㅣ散攳㝣㔸㕤㜴扤㔷扥晦昲㌷㜲昳收㠲ㅤ㥡慦㍣㔴挹搹敥愲〸㄰㤴㤸㜶㝥挹〹㤶搴㝦〰㐳昴慤挲挷㕦㜸昳敤㌷ㅥㄹ晦昹㔷挶㥥㝤散慤ㅦ㍦慢晥㍤ㅥ㘸㜳摡愴慦㠶㜳㡤㐱㠲ㅤ〴㌷㄰摣㐸戰ㄳ㐰㝤つ㑢愹捦㔰㙦㉥挶㑤㘸ㅢ㌷ㄳ摣〲〰慤㈴愹〴愵㜴㉢晢愸㤴搲㡡㑡㍦㤰㡡挸搸㐵昰㐵〰㤵㤲㐸㤱㔵㡣摤〰㉢搲㥤捥㘳㍢摤㠷搱㥢㌶㔶ㄹ㔳改㘶㤲昶〶㜱㙤㄰扢〶㌱慢晥㌶挶㐱ㅢ㜲㕥㡣〷㕡㍤㔲㡤晡扤㔵挲愴㐷㕥户搵つ㕥㐰ㅦ㈶敢搶㘱搷づ㠳ㅥ㙢愸ㄲ㝡㝢敤㜰㌴〸㌳ㄶ〰慡㜲挹愵搲慣㌵㉣ㅡ戰㡥搸㘲昱㄰㜸㙣㙢晢㄰㠲㤵㤱ち挸㉢㤵挷㤶昶昱㔱㙦挲ぢ㐷敤㘰挱㌱慢㔷㜵ㄸ㡥㐶㡥捥〹ㄷ㝥㤶て㜷敢㙣㤳扣㠵〵㔱敡㜰挷ㄹ慦攲ㄷ挵搸攸㝡昰搴搴㐸ぢ㉡㄰㌴攸㐰昵敡㤵㍤㤳〶扣搳㕡㈷㈰㥣敡ㅡつ㍤戵㡦㘲㡣ㄳ攲㑣戰扡㜱〰㔵㜰扣㐶敢扦㍡㡢㌴昸㝥搴㘴㘹ぢ㘴㡤晡㝡攳攰㘲捣つ散㤲㐸挷慤〳戶摢ㄷ㔷㈷㉢㘱搳㠸戹戴㈹ㅥ㠱〶㤹㜴㐱晡愲改㤷搶〳㔵昰㌰㤴㠸㈴慡㡥㝦㙢㐳㜴戴㡤愲扣㔷换昰扣昷㔵〸晢〴扡㠹㙢㍡㔹ㅤㄵ㝡㕤ㅣ㔱㘹㜰㥤愹摢㝡㠹敥㝡㜷㡡慤〳挲㜴㈵ㄵ㘶挲搲愸㌸搵㈷㘷〸㌰㌸㜲〴㡥搸搴摣㤴㜶摤戰㠶㘶〳捦愹㠴愲慦㕥㤳㠲㙥㔸搳挲㌱ㄹ〶㘵敡戵愹㘲㠸㐰戱扥ㅦ㐳㥣昵㐳㈱㘰㈴ㄹ㔳㐹㤵㜴搲㔷㘱摥收㐷㔰㠶搶㐸㔵㜸㉣㤶㉣敦敥㔶ㅦ㝦㡣攵昹摤㑡慤㤲㘶㔱㌴㍡捦攷ㅥ攷㔰㤲㌶搵挲敦㐸挳㐹攵㤵愹昵㌱挴攸戵愴摥㐳ㅥ㠱改愱㝥㡡㡥㠳摣㕤㘸ㄷ㑤挷愹昶㔹㘳㙥搱愹㤴挴戸㌹㉢㥣㥡捥昶晣昲㍡愱㤷捣㙤㐶戴㕡〵㉦㜱昰㌷㠶〴㘷㉤慡㕡戳㥡㔳㡣㐹愰㔵㥡㕣散㤱㌶づ愲㐵搲㌰愴昹搸㐱㈵㙤晥挶攵㤴㠸捣扡㐱戵戵㜵㔱愷搱挱慥挷愵㔲攲ㅡ愶㡤㝢攳ㅥ㜲〶愵㠶慥晤㜶搴戵㙥攴㑡㤲㐹搷昵戵ㅡㄸ攰ち攵扤搸挷㠲搲㡢摡㜰㡦㈲攱㘰晣搷敡㥡㌷㌸㈲搲昶㑢㈵㐸㙦慢㥦ㅡ㉣㜲ㅣづ搹愱㈳㝡㉣㌹㉥敢㈹㡡〴戱搹㙤ㅤ㥡㠳㥢㍢摡㙢敤昳敤㤲㘳扢㠲㑥〸㜲㔸捣㜴㡥㡢ㄳ挸戶㑣㜹㠱捤㙣㝡慦㜵挸㌷摤㘰㠱搱㑣戱扡戱愹㈵㠹愵㔹挳戶ぢ〱㡡捥㘴扤摦㥡㤹昳ㄶ㤱㤰慦㤴摤㝤收㐲戰㉥〸〵㉤ㄴ㤷㐸慡ㄲ㙡㈲愱愶ㄲ愹戵摡㉡㜰㌸戶愴换㥣㈰㠸㐹挵㈸㝤ㄵ㜹㈵㤵攲㕣ㄷ攵㤵㜷㙡捡㘷㜷っ戴敢㕦㌳㘴搶㘱㥡㙢㘶〰敥搸㜷㜸㙣㌹㐳晡㠹扥㐶㘸捣㉢慣㘲ち㈴㕢搴搳㌱㑣㔲昴㐵慣挲㍥㜲㡥㈱㈹捥㔶㉢晢愵㉤㌹㠷㥣〸敢挹改慣敥㐵愰㥣㠱攰㐳昵㈲挱〰㥤摢ㄷ㌵攸捥㤵㑤㈷㠸挷㐶扣㜲搹㈴㙢㤱㉤㘷愰户㐵㑡晡搶搰㈴㠶〵㈰昹㉦敥㌲㤷搰㘵㉥挹㉥㤸㘳愶㔸㘵㥤㝢㜹㈷㑣摦づ攷捡㜶㌱挵〶搳愰敢㠲㈷挱㐲㌲愸〷㐲㔹㈴㘳挲㔱㙤㑤㘶㐴昱㌷挸㥤㐷散㐰搴㤱晣攰摣㠴戴攱敡ㅡ昳㔷㘰㕦愹散㡤挳搸㑤㘳摥〷㙡ㅦ㄰愵挱〱㐳㡦㔴㐲㙡づ晤ㅣ㌶㡥〰搴㑡㤲㤹㥤㔵㔳ち㡣昰搳攳㥥㔹摡㡢㑣戹攷㜷挷㕦捦㔲㈰㉤㔵㡡㥦㘵ㅡ㘹〴㌹㔸攴㜶㑦挱て昶㔳散㤸㐱㠲㈶挹〴㤴ㅥ搱㤰戸㔱㌴慤㈷搵改慣戱摡㕥㔷挵攱㜶攳愷挰戱戶晤摦㌹㜸㌳㌴㉢㥦㈵㔳ぢ㐷㔱㌵敥〲㔰㤹愰攲㝢㕡㈶摣捤〹㕦〲搰㤸愷㘸㤵㤲ㄵ㔳㉥晣ㄶ愲㤵㤹ち㑡㤵昹ㅣ戸ㅢ㍡ㄲ㐴㐸㈹〱㈵㝡㑦㡡㈹ㄹ攳ㅥ㠰扦㥤㌹挳攰㔸㔱㤹搳愸㥤捦捦ㄶ昱〵㡦愱㙡摣换〹っ搲㘵搲㜱㉢㉡㡡㔱㈰㡣〳㤲攳愸挲㔸慢㔴㐵っ㑡㙡愵㠱㤲㜰愵㑤㜴㜳ㄶ㘳㝣扡搳㈴攸搹㕣㌳㤵戹〰扡㘷㡡㌱㑢挰戳愵㝦㔰㐲㠵㥢㌱㑤㐰ㅦ㈱㉡㉢㕡㌱㤵昹〲㕡㌲收〳㜰㙥㡢收㔴㤹㐹愰昶㌴〴㠰捡㤴〲㤵ㄲ㘶㐶㑣㝡〲昵戳㌳㈹㔳て㙤㑣慡ㄲ扤㌵挴愲㕡㐳慣㡤慡㜱ㄲ㐰㘵㕥愲挳㠴㜹㑥㜰㌸㠱っ㐳敡ㅢ㘵㠰㍡挱㠶搱愸㉤㙢㈰㤸换㠹ㅥ㠰挶㤰昱摣㐲㔴㡡㐹戶㈱㙦㐰愵ㅡ㙣戰づ㔶㑣〷㕦㉥㈷攱扣㠶散㕡て㕡㉢ㄹ㠵㄰慤ㅦ搵㥡㍦㘸㈲晡㤶㑦戸攷㕥扥慣ㄵ〷捤㜳攳户〵㥣戹戶㄰㈳慤㍤㠲㈴捥戹㥤㐲昶攸㍥挵㝣㙤愱愰愴㜸㈶㈵㌵㙤摣㐷〸㜶㘶㘸摦捥㐲っ㐲摢㝡㌵㍡捣慢㔸晢ㄶ敦㥣敢㌷㉤敢㈶㕡愱〱㠷㍦㔲攸愴搴㥡㡤㝥挰攳改㤰户摤㐱愵㍦㈰㝢㉢㜱㐵㉡ㅥ敡昴戳㥡ㄱ摡ㅥ攴ㅤ㘸㔰挲慡〳㈳捥㉡㜳㥣㔱㡤㕡㉢ㅡ挶愵㍤ㅦㄱ㐹戲昵慢㐶㝤敤〵搸慡㘷㜳换㔷㈴戹㡣㈳戴㔷摡户㐰愲ㄵ搷昳〵换㔴攱ㅡㄶ㝤ㄱ㘰昳〱扢攸㝢㠱㘷㠵戹ㄹ㌸愲㌹㝥㔷戴㄰㤲っ㘹摦挴㡥ㅤ捦攴挳㤲㉥㍦昲㑢㐲愷攷㕤㙦搱㤵户搱〲㝥㕥㤵昸敡敥收㌱っ㔴㘴戹ㄲ㔸捣搶㙣㕢㤶㔶㠱㈵㑢换挰㤲愵ㄹ㘰挹搲ㄴ戰昴㔳㜹㜳㌹摤戲昳㕡戲㔴昹㈴愳㕥〵搸㌰㌲㕣㘸晥㈱㠳㝥㍦扡㌳攸㤶挶㜱ㅡ㥦㈴昵〷搰搳㠷㥥〶〷㌳㑢㥢挱㕤㡣搳〴扣愹晣㜹㠰㑡扢㐱捤㤴㔶扦〶〴㔲㜲㈲〹㜸㤰㝤㤰㠰攳昸摢捥㘷㘶挷摥㔹昴捡戰昱㈱づ搳㈴戴慦㤴ちㅤ㈳挶搷攳㘱ㅥ愷㥥〰㌸捣捡〳戸〰㜹〳㜵挵㈰挱㐹㕢戵㡡ㅥ搲户㤹㍥㔴搹㉣搹㤳搱㕦㈵㑢ㅤ捤㤲愵㥥㘶改愷㡡晥㜴挸㐲挵㉥ㄱ㑡戲ㄸ㈴㠲㐱扣㘷愹敢㘵晦户搹挵㈰捣攸〷㔰愹㔲㈴㍡ㅥ㐶㠵ㄳ攴挳愵㉣愳㔱㜷愴㌸㈵㕢〱㈰摢ㅡ㡦〰昴㜶愹愴㔹㉦摢摢〸慥㈷挸〳愸づ㜰搲㌱挷㍦ㅦて戴攵昸ㅦ攴㌲慥晦㉥㐰晤ㄶ㤲㕥散慤戱扣扣〵㈹㈴㙦昱㍤㔴㜰ぢ㍥愸搳㉤㑡㉢摤愲ㄸて戴㈶搳戳㐴㠱摣昹㈹㔴㡣愷〹㥥〱㠰收〶扣㙥攵㌴㙥攴晡㉦晦挴㠱㠸搵㉣㉡愹ㅥ㉢晡㠵〱敤㡣捣㥥㍡㔲挲㌳㠸〲㝣晣挸㘰ㅣ㐱㉤㝣㝦晣挶㈶ㄶㅥ〴扢昴挶㙡㝥愶㈱㕢㕣慣㕢㤳㍥ㅣ捦㙥㙢㉣㐰攸㕣㑡攱换㕤㠸ㅦ㝤戸敢挱搸㐲攷㈶ㄳ㜸㌲㈸挷㠴㜷愲愳扡愳ㅥ㙢昵㑢ㅢ昲〳换昸愸攵㠸ㄲっㅥ搶㘶㙡昵㘷㜱搸昲搷㘶愹㕦㠳㠴晡㘵搰㕤㡡敢㝦㜶㕣㈲㈵ㄹ〱㡡㘲晣〰㜳昵ㅦ昲昲昸挰愵㐶敦㠰愹晤ㄱ㝡㈲慦㙥㉢㙡㑡㤶㡣㈹㜹攳㈷ㅣ昸㈹挱昳〰㘹㤵㕣㐸晥㌰㜸㘸㐲㍤摣昱㤰ㄷ㌸㠱㠷㉣ㅦ昰ぢ㜶㜱㙦〹ㄴ㡤㍣㜷敢捡㍣搶愰㌴〷㘰戳㥢㝥㙡戲〷㍦ㅤ愹昲收㕤〸㐷㌴愹㜰㤳㠹㉦慣㙤㉦挹㙣搸㡡〶㐳㥢挲㘳㍥挱㍥ㄴ搷㘵㠳挹ㅤ㙦挳晦㔴㐲㔷㈹㕢㝣戰㍡㠹ㄳ㜸ち摤摦ㄴ挲捡㘷㙡〳ㄳ昱挰㙥㜴ㄸ扦〲搰㐸愸㜳收㈰ㅥ扤㐶㍦收搷㔸慡㤲晣摣挳昸㑤㕣㘱㐳㈵敤攵戵敦㠸㙦㔷㝢て昹㐱づ㡣戵扣㠷㍣㈲〷昶㌷扥攷㈵㙥㐶㥥攰㥢㡣摦戳㐵㜶㤰〷晥㈱慥戰搱捦㠷搳捣㈷㤶搴攲昱搲昱攳ㅦ昴㈷㜳㤷㈶敦扡㍤昳搸扦㕥㝢昳搱搷㡦敤晡昷㠷㑦㍣昱晡㕢㡦㥥昹昰㡦戳扢晥晡摣㜳㉦摦昱昴㤹㌷㌷㕡捦㈴㕥晣㘰晣㤹搳㠳昳愷敦戳づ㕦户敦昴摤㈷てづ㑥㙤ㄸ攸敡敡敥扥㘶搳慢ㄷ㕦㥢㝤昰扥摦愹㝦㜹攳㈲㔷㤵㡦挵〱㜵ㄵ㡢扡㤲攵愳㈵戳晦〹㤵摥慥㝥摥昷㔳扤㠶㐴〱づ㘹扥〶㔱㈱慦昱㘷㜹つ㤵户㤱挸扣㍤㐶收㌰㍡㔲㠸㉥㌹㉥〷㜶㌷て昴晣ㅦ㙢㥡愰㄰</t>
  </si>
  <si>
    <t>㜸〱挵ㄷ㑢㙣ㅢ㔵㜰㜷扤㕥敦摡㐹敡ち㤵㑦㕢㘰愱㈹愵戴㉣㜶㍥慤㈳ㄱ㠱敤戴挵㙡昳㈱㐹㡢㤰㐰㑦晢㜹㐹戶摥㡦扢晢㌶㡤摢ㄴ愱㕥㝡㠵〳〷ちㅣ㝡攱㐲㌹㜰愸挴ㄹ搱ぢ㔴㐲㐸㜰愸攰㐲㔵づ㐸㠸ㄳ〲㉥〸㘶㜶扤㠹㥢㐶づ㠵㑡㍣挹戳㙦收捤㥢㜹㌳㙦摥捣㤸攳㌹㡥晢ぢ〶㝥㜱㠸㌸搹㍤搷づㄹ㜵戵扡敦㌸搴㘴戶敦㠵㕡㌵〸昴昶〹㍢㘴ㄹ㘰㤰㠸つ敢㘱㤶㠴昶㌹㉡㤳㘵ㅡ㠴挰㤴攵㌸㔹㔶〴㔸㐷㈱昸㉢愶㠸㠲扢晡㐴〰昳昵摡戴㜱ㅡ愴捥㌱㍦愰〷搵㔳挹摥昱㜲㔹㉢㙢㐳㘳㐳㠷戴搲㐱戵ㅥ㌹㉣ち攸戸㐷㈳ㄶ攸捥㐱㜵㈶㌲ㅣ摢㍣㑥摢昳㝥㤳㝡攳搴㈸つㅢ晡㐸愵㍣㌲㍡扡㌰㌶㔶改〳搵摣搴㜴扤愶㑤㔱㜶㥦㘴㘶昱挸捦㑤㔰搳㐶摢㈸つ㙣㙦㔱〳つ㜷㥣㕦㥢㙥㌱㙤㝡㉥戱挸㕥愶㌹㌴㤳捣〴㜴㠱〶搴㌳㘹㌸㐰㡥慣㤸搴愹㔳挷㤹愵ぢ㘱㠱ㅣぢ晣愸搵昰㉣扡㈲㤲㔳㝡㈰㤳㘳㤱㙤㑤敡慤㝥昷㘴㐸㘷㜵㙦㤱㑥改㉥捤扡㐸ㄶ㐴㑥捣㜰㤹昲㔶㠷愸搷づ㙢㜷愸㐱㐷换敡㠶㙤攸ㅥ㌸敥㜱ㅡ㜸搴搱攰挸攸戴捤慥晡㈵㍤㕣㘲扡攱㔰扥搰〹〴㍣っ捡捣㉢ㄲ㐰ㅣち㕡慡挸〰㜸昱㜷㠸㥦㙥捥〲㔰〵愲ぢ挴㄰㠸㈹㄰㑢㈰㔴㈰ぢ〲㔹ㄴ挸㤲㐰㙣㠱㥣ㄶ㐸ㄳ㜸搲㈱攷㜲㐲㘷㝣晡攴㔷戵摢敦㕣㥢戸昶搳㘷敦晦戱捦晢㌳㡢晡敥摤㝥っ㍢㈵㜶㈱㠴㑣㤸㜵㡦晡㐱㤸挹昴戴戵攷㈲摡慥攴ㄱ愰㙤㔹戴㝤㑢敦㍥〸㑣扣捥ㅢ㌹ㄷ㥣㍥戹ㄸ㘴摤攴㘲㈷㘸㘸㉡㉥㕣㝤ㅣ〴ㄲ捣㥣㠸昶戹㜵摦㘳㜴㠵㑤攸㑣捦戹㌳㍡㐴てㅢ㠰㡤挰㜷愰㈳愰㉦㐵㔱捥ㅡ㠲攲㡡改㑡㉡戵㝦㥤〰挲ㅦ㐸戱㉥ㅤ㙢戲ㄳ㔵㑡慣〷〵㈷㌳㤴摡ㅦ搳㔲㤱昹づ〶昲㡡昱戴㑢㔸㈱㈶㈴㤲㐴㔱攴攱改㘷搲㑦㠲散摦㉡ㄶ㌱捤㉣搳愳ㄱ㈶ㄱ敥挰㍦攳㥥㙦户㘸㠸晣㝢㝡昳㈷敥〷㍥㔹敡㜹换㠳㥢㠹㌱㡤㤳捣㜶㐲つ㑣㡣㥦敥晦愱敦㝥㥤ㅢ捦㥥捦晥ち捦昵㕥㍣㡣㠹㍣户㡣㔱㑡〸㈷愳っ愴攴愵㝥㠰㠵慥摣㈷つ〰㈱㉥㈶昸挵愱㙣〳㤰捦㉢挸愹攰㉡㔶ㅡ昸挴㈳㔹散戵㈶㘲㝡改㜹㘳昸㄰昳㈷㝣摤㍡慡㥢㔰㑥㜲㥤㘲㈲搷㝤户〵㑦㈸㈸㘲㉡慢晢ㄶ㥤〹晣㘵摢愲㠱㡣㠴㌹㈸㕡㈲㈶〶㈹㝥㝢㈱㐴㙢㠶换㘶ぢ昲㘶扡ㅡ愹慣挱㑤㡡㘲攳㉥昹㍦扦㕣㜹㘱〷㥥㉡㡦㤹㐲挱㈴愰㍣〴㠰挷散㠱昶㈰㐳散扦㠴攱㘱㘴㜸〴ㄹ㤰㝦ㄳ㠶㥤挸戰ぢㄹ搰㤹㈹挳㈵㤸㜷㔴散㐶㠶㐷〱ㄴ攳㡣㠳㑣挸挵ㄵ㘳戵㌰㔱ㅥ㐳っㄵ愱㕥改㜱〰㝢敢戵晡㉣愹攸㘶㘵愱㌲㔶ㄹ愶㤶㍥㌲㔴㈹ㅢ㠷㠷㉢㈶ㅤ戳慣昲戰㜹愸㌲㘴ㄴ攳㜳〱扢愲〲㈸攲㐹㔰㠲昲〴㘲昱㤱㄰㔳ㄱ挳㐳㘰㘴㐸㝢〰攴挸㤱㌳攰昰㤶㌴〸挸昶㝡㡤㈴攵戱㘱㐱㑥戳㔹㕢摡ぢ攴〱㈴户搸ㅣ㍤ㄳ㘱㥤㤴㥥〲㕡㝦㐲慢㕡换㜳㑣㘷搲扥㜵ㄲㄴ㌷㈷戲㘸ㄱ捤㡣搵㍣つㄳ㜲㝥㜵搶昷搹㉡㈴㜷㙡敡㈱ぢ㔷㐷㌵戵ㄶ㔹㙤㡦㌶㔵挳㡥〲晦㙣㕢㝤㔶㠵㔲摣㘴敤戳㥥㝦晤扤捦㉦愹㑤扤㘵㌳晤晡挵㐸戵扤戳㌴㠴愰搱㙤㙤挵〹㔷㔶慢㐱㌳ち捦㤵㔷愷㘶㑥㘹㤳㐷慡㔳ㄷ㤴晤愰㈴昱愵昴っ㑣挵㐹慡㝢㌲捦攵搰㥦戱㈷戰捣㘴扡㉢ㅦ晦㉤〴㌸㤶挳慢㙦㕦㝣敤愶昹摤戱て㕥扤㜱攳㌷昳搶㉦晣㌷㥤〵㜶昹敡慤ㅦ㙦扥㜵攲攳ぢ㡤㉢敦摥晥昰㑡㔶〵ㄹ愵つ㠹攷慥㉥㘳㘳㠱挷慡戸挳㙤㠴搰㔲㐰晢㌴敦㔷搷ㅡ㠷敤㜱㐸〳晤㐰㕡晥昶慥㔳慡㐶攸㍢ㄱ愳改戶改㘰㙤ㅦ㈴㝢㜸攰昱㍥昰攷㡥㜵慣㉢捤敦㕡愷㌶扣㤰〶㡣㕡愹挴㤰攳㜹㔱挸昰愳㕢㔹〲㜷㡥晤㔲㔲搸搲慥〸换敢慥㑤㥥㔷捤㘶㜱摢㠹敢扣㠲㠱㉢㘹〰㤴昱挱敡㘰戹㔴㉡㤵戳㕦㠳㕢晦㥤㑥㡣攴昵慣㠶ㅡ㜰攴㤵ㄲ㐰ㅥ㈳ㅣ㐵㈳愹慦っ〰㝡愷〹摦搵㙤敦㝥㌵㤷ㄸ㕢ㅢ㤳㜰㝣敤㠹㥡戵㉥㌳㝤㌴ㄸ昵㝤敥戴㘹捣〷㌴敥㄰攵ㄸ㠱ち搸敦扥攲〷㑤挳昷㥢㔸扥〷㘲㉣㕣愲㤴㘱搳㔶㜰㤳户㠷㜳㥥攷㌳㜷㐴㙢㜷攴愲㤱搲㄰㠰晥慡攳愸愹挴㔰ㅡ〶㔲〶㘴㐸㈳㌰㜹晥扦㍣㌰晥换捥ㄳ戸㔹昹㘱攷昹搷摦㜸昱愳㑦㉥扦㘹扤晦晤㈲晦㐵㘷㘱㘳昳㈷攲㕤昴㡡ぢ散搰㜳㉥搱昱慦㠹散ㄲ㠷㝡㡢㙣㘹敤敦〸ㄴ〷ㄹ晥㡦ㅣ〶㈶㝣愸㌸戶㈱㠲㌷ㅦ㘷挸挲摦㝦愱摣㡡</t>
  </si>
  <si>
    <t>wskaźnik kosztów realizacji, pln/m2</t>
  </si>
  <si>
    <t>% powierzchni wynajętej</t>
  </si>
  <si>
    <t>stawka najmu, pln/m2</t>
  </si>
  <si>
    <t>% powierzchni wynajętej przy stawce</t>
  </si>
  <si>
    <t>trend wielomianowy stopnia trzeciego:</t>
  </si>
  <si>
    <t>wzór: y = c3 * x^3 + c2 * x^2 + c1 * x + b</t>
  </si>
  <si>
    <r>
      <t>c3: </t>
    </r>
    <r>
      <rPr>
        <sz val="10"/>
        <rFont val="Courier New"/>
        <family val="3"/>
        <charset val="238"/>
      </rPr>
      <t>=INDEKS(REGLINP(y; x^{1;2;3});1)</t>
    </r>
  </si>
  <si>
    <r>
      <t>c2: </t>
    </r>
    <r>
      <rPr>
        <sz val="10"/>
        <rFont val="Courier New"/>
        <family val="3"/>
        <charset val="238"/>
      </rPr>
      <t>=INDEKS(REGLINP(y; x^{1;2;3});1;2)</t>
    </r>
  </si>
  <si>
    <r>
      <t>c1: </t>
    </r>
    <r>
      <rPr>
        <sz val="10"/>
        <rFont val="Courier New"/>
        <family val="3"/>
        <charset val="238"/>
      </rPr>
      <t>=INDEKS(REGLINP(y; x^{1;2;3});1;3)</t>
    </r>
  </si>
  <si>
    <r>
      <t>b: </t>
    </r>
    <r>
      <rPr>
        <sz val="10"/>
        <rFont val="Courier New"/>
        <family val="3"/>
        <charset val="238"/>
      </rPr>
      <t>=INDEKS(REGLINP(y; x^{1;2;3});1;4)</t>
    </r>
  </si>
  <si>
    <t>trend liniowy:</t>
  </si>
  <si>
    <t>wzór: y = m*x + b</t>
  </si>
  <si>
    <r>
      <t>m: </t>
    </r>
    <r>
      <rPr>
        <sz val="10"/>
        <rFont val="Courier New"/>
        <family val="3"/>
        <charset val="238"/>
      </rPr>
      <t>=NACHYLENIE(y;x)</t>
    </r>
  </si>
  <si>
    <r>
      <t>b: </t>
    </r>
    <r>
      <rPr>
        <sz val="10"/>
        <rFont val="Courier New"/>
        <family val="3"/>
        <charset val="238"/>
      </rPr>
      <t>=ODCIĘTA(y;x)</t>
    </r>
  </si>
  <si>
    <t>trend logarytmiczny:</t>
  </si>
  <si>
    <t>wzór: y = (c * LN(x)) + b</t>
  </si>
  <si>
    <r>
      <t>c: </t>
    </r>
    <r>
      <rPr>
        <sz val="10"/>
        <rFont val="Courier New"/>
        <family val="3"/>
        <charset val="238"/>
      </rPr>
      <t>=INDEKS(REGLINP(y; LN(x));1)</t>
    </r>
  </si>
  <si>
    <r>
      <t>b: </t>
    </r>
    <r>
      <rPr>
        <sz val="10"/>
        <rFont val="Courier New"/>
        <family val="3"/>
        <charset val="238"/>
      </rPr>
      <t>=INDEKS(REGLINP(y; LN(x));1;2)</t>
    </r>
  </si>
  <si>
    <t>trend wielomianowy stopnia drugiego:</t>
  </si>
  <si>
    <t>wzór: y = c2 * x^2 + c1 * x + b</t>
  </si>
  <si>
    <r>
      <t>c2: </t>
    </r>
    <r>
      <rPr>
        <sz val="10"/>
        <rFont val="Courier New"/>
        <family val="3"/>
        <charset val="238"/>
      </rPr>
      <t>=INDEKS(REGLINP(y; x^{1;2});1)</t>
    </r>
  </si>
  <si>
    <r>
      <t>c1: </t>
    </r>
    <r>
      <rPr>
        <sz val="10"/>
        <rFont val="Courier New"/>
        <family val="3"/>
        <charset val="238"/>
      </rPr>
      <t>=INDEKS(REGLINP(y; x^{1;2});1;2)</t>
    </r>
  </si>
  <si>
    <r>
      <t>b: </t>
    </r>
    <r>
      <rPr>
        <sz val="10"/>
        <rFont val="Courier New"/>
        <family val="3"/>
        <charset val="238"/>
      </rPr>
      <t>=INDEKS(REGLINP(y; x^{1;2});1;3)</t>
    </r>
  </si>
  <si>
    <t>trend wielomianowy wyższych stopni – równania i parametry wyznacza się przez analogię,</t>
  </si>
  <si>
    <t>trend potęgowy:</t>
  </si>
  <si>
    <t>wzór: y = c * x ^ b</t>
  </si>
  <si>
    <r>
      <t>c: </t>
    </r>
    <r>
      <rPr>
        <sz val="10"/>
        <rFont val="Courier New"/>
        <family val="3"/>
        <charset val="238"/>
      </rPr>
      <t>=EXP(INDEKS(REGLINP(LN(y);LN(x);;);1;2))</t>
    </r>
  </si>
  <si>
    <r>
      <t>b: </t>
    </r>
    <r>
      <rPr>
        <sz val="10"/>
        <rFont val="Courier New"/>
        <family val="3"/>
        <charset val="238"/>
      </rPr>
      <t>=INDEKS(REGLINP(LN(y);LN(x);;);1)</t>
    </r>
  </si>
  <si>
    <t>trend wykładniczy:</t>
  </si>
  <si>
    <t>wzór: y = c * e ^ (b * x)</t>
  </si>
  <si>
    <r>
      <t>c: </t>
    </r>
    <r>
      <rPr>
        <sz val="10"/>
        <rFont val="Courier New"/>
        <family val="3"/>
        <charset val="238"/>
      </rPr>
      <t>=EXP(INDEKS(REGLINP(LN(y);x);1;2))</t>
    </r>
  </si>
  <si>
    <r>
      <t>b: </t>
    </r>
    <r>
      <rPr>
        <sz val="10"/>
        <rFont val="Courier New"/>
        <family val="3"/>
        <charset val="238"/>
      </rPr>
      <t>=INDEKS(REGLINP(LN(y);x);1)</t>
    </r>
  </si>
  <si>
    <t>http://www.excelwbiznesie.pl/porady/wykresy/wzory-linii-trendu/
Tworząc wykres w Excelu można dodać do niego linię trendu. Linia trendu pozwala na oszacowanie przyszłych wartości, które mogą zostać osiągnięte przez dane zjawisko. Może nie jest to dobre przybliżenie, ale jest to zawsze jakiś punkt odniesienia.
Dodatkowo na wykresie można pokazać wzór za pomocą, którego została wyznaczona linia trendu. Mając ten wzór możemy już samodzielnie wyznaczać wartości w przyszłości. Pewnym problemem jest fakt, że aby wyznaczyć wzór, należało zrobić wykres. Dodatkowo każdorazowa zmiana danych powoduje zmianę tego wzoru, co wiąże się ze zmianą formuły i ponownym jej wprowadzeniem.
Najlepszym rozwiązaniem byłoby zastosowanie formuły do obliczania tych wartości. Excel domyślnie nie udostępnia funkcji, za pomocą, których można wyznaczyć potrzebne parametry. Z pomocą przychodzi wiedza ze statystyki i prognozowania. Zakładając, że mamy dwa zakresy nazwane xi y możemy napisać następujące wzory:</t>
  </si>
  <si>
    <t xml:space="preserve"> </t>
  </si>
  <si>
    <t>ŹRÓDŁO (dostęp z 01-10-2023):</t>
  </si>
  <si>
    <t>https://support.microsoft.com/pl-pl/office/reglinp-funkcja-84d7d0d9-6e50-4101-977a-fa7abf772b6d</t>
  </si>
  <si>
    <t>WSPÓŁCZYNNIK DETERMINACJI</t>
  </si>
  <si>
    <t xml:space="preserve">Pozwala stwierdzić czy oszacowane równanie regresji </t>
  </si>
  <si>
    <t>jest przydatne do przewidywania czy nie.</t>
  </si>
  <si>
    <t xml:space="preserve">Często nazywany współczynnikiem dopasowania regresji
</t>
  </si>
  <si>
    <t>i oznaczany jako</t>
  </si>
  <si>
    <t>Określa on stopień w jakim linia regresji najmniejszych</t>
  </si>
  <si>
    <t>kwadratów wyjaśnia zmienność obserwowanych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</si>
</sst>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z_ł_-;\-* #,##0\ _z_ł_-;_-* &quot;-&quot;\ _z_ł_-;_-@_-"/>
    <numFmt numFmtId="165" formatCode="_-* #,##0.00\ _z_ł_-;\-* #,##0.00\ _z_ł_-;_-* &quot;-&quot;??\ _z_ł_-;_-@_-"/>
    <numFmt numFmtId="166" formatCode="#,##0.00\ _z_ł"/>
    <numFmt numFmtId="167" formatCode="#,##0.00\ [$PLN]"/>
  </numFmts>
  <fonts count="2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CE"/>
      <family val="2"/>
      <charset val="238"/>
    </font>
    <font>
      <b/>
      <sz val="10"/>
      <name val="Arial CE"/>
      <charset val="238"/>
    </font>
    <font>
      <b/>
      <i/>
      <sz val="10"/>
      <name val="Arial CE"/>
      <charset val="238"/>
    </font>
    <font>
      <b/>
      <sz val="10"/>
      <color rgb="FFFF0000"/>
      <name val="Arial CE"/>
      <charset val="238"/>
    </font>
    <font>
      <b/>
      <sz val="12"/>
      <name val="Arial CE"/>
      <charset val="238"/>
    </font>
    <font>
      <b/>
      <sz val="11"/>
      <color theme="1"/>
      <name val="Calibri"/>
      <family val="2"/>
      <charset val="238"/>
      <scheme val="minor"/>
    </font>
    <font>
      <b/>
      <sz val="11"/>
      <color rgb="FFFF0000"/>
      <name val="Calibri"/>
      <family val="2"/>
      <charset val="238"/>
      <scheme val="minor"/>
    </font>
    <font>
      <sz val="12"/>
      <color theme="1"/>
      <name val="Calibri"/>
      <family val="2"/>
      <charset val="238"/>
      <scheme val="minor"/>
    </font>
    <font>
      <sz val="10"/>
      <name val="Arial"/>
      <family val="2"/>
      <charset val="238"/>
    </font>
    <font>
      <b/>
      <sz val="16"/>
      <name val="Calibri"/>
      <family val="2"/>
      <charset val="238"/>
      <scheme val="minor"/>
    </font>
    <font>
      <b/>
      <sz val="14"/>
      <name val="Arial CE"/>
      <family val="2"/>
      <charset val="238"/>
    </font>
    <font>
      <b/>
      <sz val="14"/>
      <color indexed="9"/>
      <name val="Arial CE"/>
      <family val="2"/>
      <charset val="238"/>
    </font>
    <font>
      <i/>
      <sz val="10"/>
      <name val="Arial CE"/>
      <family val="2"/>
      <charset val="238"/>
    </font>
    <font>
      <b/>
      <sz val="10"/>
      <name val="Arial CE"/>
      <family val="2"/>
      <charset val="238"/>
    </font>
    <font>
      <i/>
      <sz val="10"/>
      <name val="Arial"/>
      <family val="2"/>
      <charset val="238"/>
    </font>
    <font>
      <sz val="10"/>
      <name val="Courier New"/>
      <family val="3"/>
      <charset val="238"/>
    </font>
    <font>
      <u/>
      <sz val="10"/>
      <color theme="10"/>
      <name val="Arial CE"/>
      <charset val="238"/>
    </font>
  </fonts>
  <fills count="11">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FFFF"/>
        <bgColor indexed="64"/>
      </patternFill>
    </fill>
    <fill>
      <patternFill patternType="solid">
        <fgColor theme="7" tint="0.59999389629810485"/>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4">
    <xf numFmtId="0" fontId="0" fillId="0" borderId="0"/>
    <xf numFmtId="0" fontId="3" fillId="0" borderId="0"/>
    <xf numFmtId="0" fontId="13" fillId="0" borderId="0"/>
    <xf numFmtId="0" fontId="21" fillId="0" borderId="0" applyNumberFormat="0" applyFill="0" applyBorder="0" applyAlignment="0" applyProtection="0"/>
  </cellStyleXfs>
  <cellXfs count="102">
    <xf numFmtId="0" fontId="0" fillId="0" borderId="0" xfId="0"/>
    <xf numFmtId="0" fontId="0" fillId="0" borderId="1" xfId="0" applyBorder="1"/>
    <xf numFmtId="166" fontId="0" fillId="0" borderId="1" xfId="0" applyNumberFormat="1" applyBorder="1" applyAlignment="1">
      <alignment horizontal="right"/>
    </xf>
    <xf numFmtId="0" fontId="6" fillId="0" borderId="0" xfId="0" applyFont="1" applyAlignment="1">
      <alignment horizontal="right"/>
    </xf>
    <xf numFmtId="2" fontId="0" fillId="0" borderId="0" xfId="0" applyNumberFormat="1"/>
    <xf numFmtId="166" fontId="4" fillId="0" borderId="0" xfId="0" applyNumberFormat="1" applyFont="1" applyAlignment="1">
      <alignment horizontal="right"/>
    </xf>
    <xf numFmtId="166" fontId="0" fillId="0" borderId="0" xfId="0" applyNumberFormat="1" applyAlignment="1">
      <alignment horizontal="right"/>
    </xf>
    <xf numFmtId="0" fontId="0" fillId="2" borderId="1" xfId="0" applyFill="1" applyBorder="1"/>
    <xf numFmtId="166" fontId="0" fillId="2" borderId="1" xfId="0" applyNumberFormat="1" applyFill="1" applyBorder="1" applyAlignment="1">
      <alignment horizontal="right"/>
    </xf>
    <xf numFmtId="166" fontId="0" fillId="2" borderId="1" xfId="0" applyNumberFormat="1" applyFill="1" applyBorder="1"/>
    <xf numFmtId="0" fontId="5" fillId="3" borderId="1" xfId="0" applyFont="1" applyFill="1" applyBorder="1"/>
    <xf numFmtId="166" fontId="0" fillId="3" borderId="1" xfId="0" applyNumberFormat="1" applyFill="1" applyBorder="1" applyAlignment="1">
      <alignment horizontal="right"/>
    </xf>
    <xf numFmtId="0" fontId="0" fillId="3" borderId="1" xfId="0" applyFill="1" applyBorder="1"/>
    <xf numFmtId="166" fontId="0" fillId="3" borderId="1" xfId="0" applyNumberFormat="1" applyFill="1" applyBorder="1"/>
    <xf numFmtId="0" fontId="0" fillId="4" borderId="1" xfId="0" applyFill="1" applyBorder="1"/>
    <xf numFmtId="166" fontId="0" fillId="4" borderId="1" xfId="0" applyNumberFormat="1" applyFill="1" applyBorder="1"/>
    <xf numFmtId="0" fontId="0" fillId="5" borderId="1" xfId="0" applyFill="1" applyBorder="1"/>
    <xf numFmtId="166" fontId="0" fillId="5" borderId="1" xfId="0" applyNumberFormat="1" applyFill="1" applyBorder="1" applyAlignment="1">
      <alignment horizontal="right"/>
    </xf>
    <xf numFmtId="0" fontId="0" fillId="6" borderId="1" xfId="0" applyFill="1" applyBorder="1"/>
    <xf numFmtId="166" fontId="0" fillId="6" borderId="1" xfId="0" applyNumberFormat="1" applyFill="1" applyBorder="1" applyAlignment="1">
      <alignment horizontal="right"/>
    </xf>
    <xf numFmtId="166" fontId="4" fillId="6" borderId="1" xfId="0" applyNumberFormat="1" applyFont="1" applyFill="1" applyBorder="1" applyAlignment="1">
      <alignment horizontal="right"/>
    </xf>
    <xf numFmtId="4" fontId="0" fillId="0" borderId="0" xfId="0" applyNumberFormat="1"/>
    <xf numFmtId="0" fontId="0" fillId="7" borderId="0" xfId="0" applyFill="1"/>
    <xf numFmtId="166" fontId="8" fillId="0" borderId="1" xfId="0" applyNumberFormat="1" applyFont="1" applyBorder="1" applyAlignment="1">
      <alignment horizontal="right"/>
    </xf>
    <xf numFmtId="164" fontId="0" fillId="0" borderId="0" xfId="0" applyNumberFormat="1"/>
    <xf numFmtId="1" fontId="0" fillId="2" borderId="1" xfId="0" applyNumberFormat="1" applyFill="1" applyBorder="1"/>
    <xf numFmtId="1" fontId="0" fillId="2" borderId="1" xfId="0" applyNumberFormat="1" applyFill="1" applyBorder="1" applyAlignment="1">
      <alignment horizontal="right"/>
    </xf>
    <xf numFmtId="0" fontId="0" fillId="4" borderId="0" xfId="0" applyFill="1"/>
    <xf numFmtId="165" fontId="4" fillId="4" borderId="1" xfId="0" applyNumberFormat="1" applyFont="1" applyFill="1" applyBorder="1" applyAlignment="1">
      <alignment horizontal="right"/>
    </xf>
    <xf numFmtId="165" fontId="0" fillId="4" borderId="1" xfId="0" applyNumberFormat="1" applyFill="1" applyBorder="1"/>
    <xf numFmtId="0" fontId="9" fillId="0" borderId="0" xfId="0" applyFont="1"/>
    <xf numFmtId="0" fontId="3" fillId="0" borderId="0" xfId="1"/>
    <xf numFmtId="1" fontId="3" fillId="0" borderId="0" xfId="1" applyNumberFormat="1"/>
    <xf numFmtId="2" fontId="3" fillId="0" borderId="0" xfId="1" applyNumberFormat="1"/>
    <xf numFmtId="11" fontId="3" fillId="0" borderId="0" xfId="1" applyNumberFormat="1"/>
    <xf numFmtId="0" fontId="6" fillId="0" borderId="0" xfId="0" applyFont="1"/>
    <xf numFmtId="0" fontId="0" fillId="0" borderId="0" xfId="0" quotePrefix="1"/>
    <xf numFmtId="164" fontId="0" fillId="8" borderId="0" xfId="0" applyNumberFormat="1" applyFill="1"/>
    <xf numFmtId="166" fontId="6" fillId="8" borderId="0" xfId="0" applyNumberFormat="1" applyFont="1" applyFill="1" applyAlignment="1">
      <alignment horizontal="right"/>
    </xf>
    <xf numFmtId="0" fontId="11" fillId="7" borderId="0" xfId="1" applyFont="1" applyFill="1"/>
    <xf numFmtId="0" fontId="11" fillId="0" borderId="0" xfId="1" applyFont="1"/>
    <xf numFmtId="1" fontId="11" fillId="0" borderId="0" xfId="1" applyNumberFormat="1" applyFont="1"/>
    <xf numFmtId="0" fontId="0" fillId="0" borderId="0" xfId="0" applyAlignment="1">
      <alignment horizontal="right"/>
    </xf>
    <xf numFmtId="0" fontId="0" fillId="0" borderId="1" xfId="0" applyBorder="1" applyAlignment="1">
      <alignment horizontal="right"/>
    </xf>
    <xf numFmtId="2" fontId="6" fillId="7" borderId="1" xfId="0" applyNumberFormat="1" applyFont="1" applyFill="1" applyBorder="1" applyAlignment="1">
      <alignment horizontal="left"/>
    </xf>
    <xf numFmtId="1" fontId="6" fillId="7" borderId="1" xfId="0" applyNumberFormat="1" applyFont="1" applyFill="1" applyBorder="1" applyAlignment="1">
      <alignment horizontal="left"/>
    </xf>
    <xf numFmtId="0" fontId="0" fillId="0" borderId="1" xfId="0" applyBorder="1" applyAlignment="1">
      <alignment horizontal="left"/>
    </xf>
    <xf numFmtId="0" fontId="6" fillId="0" borderId="1" xfId="0" applyFont="1" applyBorder="1" applyAlignment="1">
      <alignment horizontal="left"/>
    </xf>
    <xf numFmtId="0" fontId="0" fillId="0" borderId="1" xfId="0" applyBorder="1" applyAlignment="1">
      <alignment horizontal="center"/>
    </xf>
    <xf numFmtId="0" fontId="0" fillId="0" borderId="0" xfId="0" applyAlignment="1">
      <alignment horizontal="center"/>
    </xf>
    <xf numFmtId="4" fontId="6" fillId="0" borderId="1" xfId="0" applyNumberFormat="1" applyFont="1" applyBorder="1" applyAlignment="1">
      <alignment horizontal="left"/>
    </xf>
    <xf numFmtId="2" fontId="0" fillId="0" borderId="1" xfId="0" applyNumberFormat="1" applyBorder="1" applyAlignment="1">
      <alignment horizontal="center"/>
    </xf>
    <xf numFmtId="2" fontId="0" fillId="0" borderId="0" xfId="0" applyNumberFormat="1" applyAlignment="1">
      <alignment horizontal="left"/>
    </xf>
    <xf numFmtId="0" fontId="0" fillId="0" borderId="2" xfId="0" applyBorder="1"/>
    <xf numFmtId="4" fontId="0" fillId="0" borderId="4" xfId="0" applyNumberFormat="1" applyBorder="1"/>
    <xf numFmtId="0" fontId="0" fillId="0" borderId="4" xfId="0" applyBorder="1"/>
    <xf numFmtId="4" fontId="6" fillId="0" borderId="4" xfId="0" applyNumberFormat="1" applyFont="1" applyBorder="1" applyAlignment="1">
      <alignment horizontal="center"/>
    </xf>
    <xf numFmtId="166" fontId="6" fillId="0" borderId="4" xfId="0" applyNumberFormat="1" applyFont="1" applyBorder="1" applyAlignment="1">
      <alignment horizontal="center"/>
    </xf>
    <xf numFmtId="4" fontId="6" fillId="0" borderId="3" xfId="0" applyNumberFormat="1" applyFont="1" applyBorder="1" applyAlignment="1">
      <alignment horizontal="center"/>
    </xf>
    <xf numFmtId="0" fontId="12" fillId="0" borderId="0" xfId="1" applyFont="1"/>
    <xf numFmtId="12" fontId="0" fillId="0" borderId="0" xfId="0" applyNumberFormat="1"/>
    <xf numFmtId="10" fontId="0" fillId="0" borderId="0" xfId="0" applyNumberFormat="1"/>
    <xf numFmtId="0" fontId="0" fillId="0" borderId="5" xfId="0" applyBorder="1"/>
    <xf numFmtId="0" fontId="0" fillId="0" borderId="6" xfId="0" applyBorder="1"/>
    <xf numFmtId="0" fontId="0" fillId="0" borderId="7" xfId="0" applyBorder="1"/>
    <xf numFmtId="167" fontId="0" fillId="0" borderId="7" xfId="0" applyNumberFormat="1"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167" fontId="0" fillId="7" borderId="0" xfId="0" applyNumberFormat="1" applyFill="1"/>
    <xf numFmtId="0" fontId="10" fillId="0" borderId="0" xfId="1" applyFont="1"/>
    <xf numFmtId="0" fontId="7" fillId="0" borderId="2" xfId="0" applyFont="1" applyBorder="1" applyAlignment="1">
      <alignment horizontal="center"/>
    </xf>
    <xf numFmtId="0" fontId="7" fillId="0" borderId="4" xfId="0" quotePrefix="1" applyFont="1" applyBorder="1" applyAlignment="1">
      <alignment horizontal="center" vertical="center"/>
    </xf>
    <xf numFmtId="0" fontId="14" fillId="0" borderId="0" xfId="0" applyFont="1"/>
    <xf numFmtId="2" fontId="3" fillId="9" borderId="0" xfId="1" applyNumberFormat="1" applyFill="1"/>
    <xf numFmtId="0" fontId="8" fillId="7" borderId="1" xfId="0" applyFont="1" applyFill="1" applyBorder="1"/>
    <xf numFmtId="0" fontId="15" fillId="0" borderId="0" xfId="0" applyFont="1"/>
    <xf numFmtId="0" fontId="16" fillId="0" borderId="0" xfId="0" applyFont="1" applyAlignment="1">
      <alignment horizontal="center"/>
    </xf>
    <xf numFmtId="0" fontId="17" fillId="0" borderId="0" xfId="0" applyFont="1" applyAlignment="1">
      <alignment horizontal="center"/>
    </xf>
    <xf numFmtId="0" fontId="0" fillId="10" borderId="1" xfId="0" applyFill="1" applyBorder="1" applyAlignment="1">
      <alignment horizontal="center"/>
    </xf>
    <xf numFmtId="0" fontId="18" fillId="10" borderId="1" xfId="0" applyFont="1" applyFill="1" applyBorder="1" applyAlignment="1">
      <alignment horizontal="center"/>
    </xf>
    <xf numFmtId="1" fontId="19" fillId="2" borderId="1" xfId="2" applyNumberFormat="1" applyFont="1" applyFill="1" applyBorder="1" applyAlignment="1">
      <alignment horizontal="center"/>
    </xf>
    <xf numFmtId="0" fontId="0" fillId="2" borderId="1" xfId="0" applyFill="1" applyBorder="1" applyAlignment="1">
      <alignment horizontal="center"/>
    </xf>
    <xf numFmtId="0" fontId="3" fillId="0" borderId="1" xfId="1" applyBorder="1"/>
    <xf numFmtId="1" fontId="3" fillId="0" borderId="1" xfId="1" applyNumberFormat="1" applyBorder="1"/>
    <xf numFmtId="10" fontId="8" fillId="0" borderId="1" xfId="0" applyNumberFormat="1" applyFont="1" applyBorder="1"/>
    <xf numFmtId="0" fontId="2" fillId="0" borderId="0" xfId="1" applyFont="1"/>
    <xf numFmtId="0" fontId="0" fillId="0" borderId="0" xfId="0" applyAlignment="1">
      <alignment horizontal="left" vertical="center" indent="1"/>
    </xf>
    <xf numFmtId="0" fontId="0" fillId="0" borderId="0" xfId="0" applyAlignment="1">
      <alignment horizontal="left" vertical="center" indent="2"/>
    </xf>
    <xf numFmtId="0" fontId="1" fillId="0" borderId="0" xfId="1" applyFont="1"/>
    <xf numFmtId="0" fontId="21" fillId="0" borderId="0" xfId="3"/>
    <xf numFmtId="0" fontId="2" fillId="0" borderId="0" xfId="1" applyFont="1" applyAlignment="1">
      <alignment horizontal="center"/>
    </xf>
    <xf numFmtId="0" fontId="1" fillId="0" borderId="0" xfId="1" applyFont="1" applyAlignment="1">
      <alignment horizontal="left" wrapText="1"/>
    </xf>
    <xf numFmtId="0" fontId="0" fillId="0" borderId="1" xfId="0" applyBorder="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4">
    <cellStyle name="Hiperłącze" xfId="3" builtinId="8"/>
    <cellStyle name="Normalny" xfId="0" builtinId="0"/>
    <cellStyle name="Normalny 2" xfId="1" xr:uid="{00000000-0005-0000-0000-000001000000}"/>
    <cellStyle name="Normalny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spPr>
            <a:ln w="34925" cap="rnd">
              <a:solidFill>
                <a:schemeClr val="accent2"/>
              </a:solidFill>
              <a:round/>
            </a:ln>
            <a:effectLst>
              <a:outerShdw blurRad="57150" dist="19050" dir="5400000" algn="ctr" rotWithShape="0">
                <a:srgbClr val="000000">
                  <a:alpha val="63000"/>
                </a:srgbClr>
              </a:outerShdw>
            </a:effectLst>
          </c:spPr>
          <c:marker>
            <c:symbol val="none"/>
          </c:marker>
          <c:cat>
            <c:numRef>
              <c:f>'Zależności wskaźników'!$M$3:$S$3</c:f>
              <c:numCache>
                <c:formatCode>General</c:formatCode>
                <c:ptCount val="7"/>
                <c:pt idx="0">
                  <c:v>7000</c:v>
                </c:pt>
                <c:pt idx="1">
                  <c:v>7500</c:v>
                </c:pt>
                <c:pt idx="2">
                  <c:v>8000</c:v>
                </c:pt>
                <c:pt idx="3">
                  <c:v>8500</c:v>
                </c:pt>
                <c:pt idx="4">
                  <c:v>9000</c:v>
                </c:pt>
                <c:pt idx="5">
                  <c:v>9500</c:v>
                </c:pt>
                <c:pt idx="6">
                  <c:v>10000</c:v>
                </c:pt>
              </c:numCache>
            </c:numRef>
          </c:cat>
          <c:val>
            <c:numRef>
              <c:f>'Zależności wskaźników'!$M$5:$S$5</c:f>
              <c:numCache>
                <c:formatCode>0</c:formatCode>
                <c:ptCount val="7"/>
                <c:pt idx="0">
                  <c:v>2000</c:v>
                </c:pt>
                <c:pt idx="1">
                  <c:v>2500</c:v>
                </c:pt>
                <c:pt idx="2">
                  <c:v>2800</c:v>
                </c:pt>
                <c:pt idx="3">
                  <c:v>3000</c:v>
                </c:pt>
                <c:pt idx="4">
                  <c:v>3300</c:v>
                </c:pt>
                <c:pt idx="5">
                  <c:v>3500</c:v>
                </c:pt>
                <c:pt idx="6">
                  <c:v>3600</c:v>
                </c:pt>
              </c:numCache>
            </c:numRef>
          </c:val>
          <c:smooth val="0"/>
          <c:extLst>
            <c:ext xmlns:c16="http://schemas.microsoft.com/office/drawing/2014/chart" uri="{C3380CC4-5D6E-409C-BE32-E72D297353CC}">
              <c16:uniqueId val="{00000001-2618-49F5-9E64-EEEBD10D7473}"/>
            </c:ext>
          </c:extLst>
        </c:ser>
        <c:dLbls>
          <c:showLegendKey val="0"/>
          <c:showVal val="0"/>
          <c:showCatName val="0"/>
          <c:showSerName val="0"/>
          <c:showPercent val="0"/>
          <c:showBubbleSize val="0"/>
        </c:dLbls>
        <c:smooth val="0"/>
        <c:axId val="-840068816"/>
        <c:axId val="-838196096"/>
        <c:extLst>
          <c:ext xmlns:c15="http://schemas.microsoft.com/office/drawing/2012/chart" uri="{02D57815-91ED-43cb-92C2-25804820EDAC}">
            <c15:filteredLineSeries>
              <c15:ser>
                <c:idx val="0"/>
                <c:order val="0"/>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uri="{02D57815-91ED-43cb-92C2-25804820EDAC}">
                        <c15:formulaRef>
                          <c15:sqref>'Zależności wskaźników'!$M$3:$S$3</c15:sqref>
                        </c15:formulaRef>
                      </c:ext>
                    </c:extLst>
                    <c:numCache>
                      <c:formatCode>General</c:formatCode>
                      <c:ptCount val="7"/>
                      <c:pt idx="0">
                        <c:v>7000</c:v>
                      </c:pt>
                      <c:pt idx="1">
                        <c:v>7500</c:v>
                      </c:pt>
                      <c:pt idx="2">
                        <c:v>8000</c:v>
                      </c:pt>
                      <c:pt idx="3">
                        <c:v>8500</c:v>
                      </c:pt>
                      <c:pt idx="4">
                        <c:v>9000</c:v>
                      </c:pt>
                      <c:pt idx="5">
                        <c:v>9500</c:v>
                      </c:pt>
                      <c:pt idx="6">
                        <c:v>10000</c:v>
                      </c:pt>
                    </c:numCache>
                  </c:numRef>
                </c:cat>
                <c:val>
                  <c:numRef>
                    <c:extLst>
                      <c:ext uri="{02D57815-91ED-43cb-92C2-25804820EDAC}">
                        <c15:formulaRef>
                          <c15:sqref>'Zależności wskaźników'!$M$4:$S$4</c15:sqref>
                        </c15:formulaRef>
                      </c:ext>
                    </c:extLst>
                    <c:numCache>
                      <c:formatCode>General</c:formatCode>
                      <c:ptCount val="7"/>
                    </c:numCache>
                  </c:numRef>
                </c:val>
                <c:smooth val="0"/>
                <c:extLst>
                  <c:ext xmlns:c16="http://schemas.microsoft.com/office/drawing/2014/chart" uri="{C3380CC4-5D6E-409C-BE32-E72D297353CC}">
                    <c16:uniqueId val="{00000000-2618-49F5-9E64-EEEBD10D7473}"/>
                  </c:ext>
                </c:extLst>
              </c15:ser>
            </c15:filteredLineSeries>
          </c:ext>
        </c:extLst>
      </c:lineChart>
      <c:catAx>
        <c:axId val="-840068816"/>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l-PL"/>
          </a:p>
        </c:txPr>
        <c:crossAx val="-838196096"/>
        <c:crosses val="autoZero"/>
        <c:auto val="1"/>
        <c:lblAlgn val="ctr"/>
        <c:lblOffset val="100"/>
        <c:noMultiLvlLbl val="0"/>
      </c:catAx>
      <c:valAx>
        <c:axId val="-83819609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l-PL"/>
          </a:p>
        </c:txPr>
        <c:crossAx val="-8400688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spPr>
            <a:solidFill>
              <a:schemeClr val="tx1"/>
            </a:solidFill>
            <a:ln>
              <a:noFill/>
            </a:ln>
            <a:effectLst/>
          </c:spPr>
          <c:invertIfNegative val="0"/>
          <c:cat>
            <c:numRef>
              <c:f>'Zależności wskaźników'!$M$12:$R$12</c:f>
              <c:numCache>
                <c:formatCode>General</c:formatCode>
                <c:ptCount val="6"/>
                <c:pt idx="0">
                  <c:v>2500</c:v>
                </c:pt>
                <c:pt idx="1">
                  <c:v>2800</c:v>
                </c:pt>
                <c:pt idx="2">
                  <c:v>3000</c:v>
                </c:pt>
                <c:pt idx="3">
                  <c:v>3300</c:v>
                </c:pt>
                <c:pt idx="4">
                  <c:v>3500</c:v>
                </c:pt>
                <c:pt idx="5">
                  <c:v>3600</c:v>
                </c:pt>
              </c:numCache>
            </c:numRef>
          </c:cat>
          <c:val>
            <c:numRef>
              <c:f>'Zależności wskaźników'!$M$14:$R$14</c:f>
              <c:numCache>
                <c:formatCode>General</c:formatCode>
                <c:ptCount val="6"/>
                <c:pt idx="0">
                  <c:v>0.9</c:v>
                </c:pt>
                <c:pt idx="1">
                  <c:v>0.8</c:v>
                </c:pt>
                <c:pt idx="2">
                  <c:v>0.7</c:v>
                </c:pt>
                <c:pt idx="3">
                  <c:v>0.65</c:v>
                </c:pt>
                <c:pt idx="4">
                  <c:v>0.6</c:v>
                </c:pt>
                <c:pt idx="5">
                  <c:v>0.55000000000000004</c:v>
                </c:pt>
              </c:numCache>
            </c:numRef>
          </c:val>
          <c:extLst>
            <c:ext xmlns:c16="http://schemas.microsoft.com/office/drawing/2014/chart" uri="{C3380CC4-5D6E-409C-BE32-E72D297353CC}">
              <c16:uniqueId val="{00000001-5BCD-45BE-9C42-A8EDC6813D8B}"/>
            </c:ext>
          </c:extLst>
        </c:ser>
        <c:dLbls>
          <c:showLegendKey val="0"/>
          <c:showVal val="0"/>
          <c:showCatName val="0"/>
          <c:showSerName val="0"/>
          <c:showPercent val="0"/>
          <c:showBubbleSize val="0"/>
        </c:dLbls>
        <c:gapWidth val="219"/>
        <c:overlap val="-27"/>
        <c:axId val="-840079472"/>
        <c:axId val="-838210080"/>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'Zależności wskaźników'!$M$12:$R$12</c15:sqref>
                        </c15:formulaRef>
                      </c:ext>
                    </c:extLst>
                    <c:numCache>
                      <c:formatCode>General</c:formatCode>
                      <c:ptCount val="6"/>
                      <c:pt idx="0">
                        <c:v>2500</c:v>
                      </c:pt>
                      <c:pt idx="1">
                        <c:v>2800</c:v>
                      </c:pt>
                      <c:pt idx="2">
                        <c:v>3000</c:v>
                      </c:pt>
                      <c:pt idx="3">
                        <c:v>3300</c:v>
                      </c:pt>
                      <c:pt idx="4">
                        <c:v>3500</c:v>
                      </c:pt>
                      <c:pt idx="5">
                        <c:v>3600</c:v>
                      </c:pt>
                    </c:numCache>
                  </c:numRef>
                </c:cat>
                <c:val>
                  <c:numRef>
                    <c:extLst>
                      <c:ext uri="{02D57815-91ED-43cb-92C2-25804820EDAC}">
                        <c15:formulaRef>
                          <c15:sqref>'Zależności wskaźników'!$M$13:$R$13</c15:sqref>
                        </c15:formulaRef>
                      </c:ext>
                    </c:extLst>
                    <c:numCache>
                      <c:formatCode>General</c:formatCode>
                      <c:ptCount val="6"/>
                    </c:numCache>
                  </c:numRef>
                </c:val>
                <c:extLst>
                  <c:ext xmlns:c16="http://schemas.microsoft.com/office/drawing/2014/chart" uri="{C3380CC4-5D6E-409C-BE32-E72D297353CC}">
                    <c16:uniqueId val="{00000000-5BCD-45BE-9C42-A8EDC6813D8B}"/>
                  </c:ext>
                </c:extLst>
              </c15:ser>
            </c15:filteredBarSeries>
          </c:ext>
        </c:extLst>
      </c:barChart>
      <c:catAx>
        <c:axId val="-84007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838210080"/>
        <c:crosses val="autoZero"/>
        <c:auto val="1"/>
        <c:lblAlgn val="ctr"/>
        <c:lblOffset val="100"/>
        <c:noMultiLvlLbl val="0"/>
      </c:catAx>
      <c:valAx>
        <c:axId val="-838210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840079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liniowa
</a:t>
            </a:r>
          </a:p>
        </c:rich>
      </c:tx>
      <c:layout>
        <c:manualLayout>
          <c:xMode val="edge"/>
          <c:yMode val="edge"/>
          <c:x val="0.36585429870046793"/>
          <c:y val="3.8327526132404179E-2"/>
        </c:manualLayout>
      </c:layout>
      <c:overlay val="0"/>
      <c:spPr>
        <a:noFill/>
        <a:ln w="25400">
          <a:noFill/>
        </a:ln>
      </c:spPr>
    </c:title>
    <c:autoTitleDeleted val="0"/>
    <c:plotArea>
      <c:layout>
        <c:manualLayout>
          <c:layoutTarget val="inner"/>
          <c:xMode val="edge"/>
          <c:yMode val="edge"/>
          <c:x val="0.12195146157159389"/>
          <c:y val="0.15679442508710842"/>
          <c:w val="0.82520488996778529"/>
          <c:h val="0.7526132404181197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1"/>
            <c:dispEq val="1"/>
            <c:trendlineLbl>
              <c:layout>
                <c:manualLayout>
                  <c:x val="-0.33368734396005389"/>
                  <c:y val="7.1399617420703776E-2"/>
                </c:manualLayout>
              </c:layout>
              <c:numFmt formatCode="General" sourceLinked="0"/>
              <c:spPr>
                <a:noFill/>
                <a:ln w="25400">
                  <a:noFill/>
                </a:ln>
              </c:spPr>
              <c:txPr>
                <a:bodyPr/>
                <a:lstStyle/>
                <a:p>
                  <a:pPr>
                    <a:defRPr sz="1025"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7500</c:v>
                </c:pt>
                <c:pt idx="2">
                  <c:v>8000</c:v>
                </c:pt>
                <c:pt idx="3">
                  <c:v>8500</c:v>
                </c:pt>
                <c:pt idx="4">
                  <c:v>9000</c:v>
                </c:pt>
                <c:pt idx="5">
                  <c:v>9500</c:v>
                </c:pt>
                <c:pt idx="6">
                  <c:v>10000</c:v>
                </c:pt>
              </c:numCache>
            </c:numRef>
          </c:xVal>
          <c:yVal>
            <c:numRef>
              <c:f>'Regresja '!$B$5:$B$35</c:f>
              <c:numCache>
                <c:formatCode>0</c:formatCode>
                <c:ptCount val="31"/>
                <c:pt idx="0">
                  <c:v>2000</c:v>
                </c:pt>
                <c:pt idx="1">
                  <c:v>2500</c:v>
                </c:pt>
                <c:pt idx="2">
                  <c:v>2800</c:v>
                </c:pt>
                <c:pt idx="3">
                  <c:v>3000</c:v>
                </c:pt>
                <c:pt idx="4">
                  <c:v>3300</c:v>
                </c:pt>
                <c:pt idx="5">
                  <c:v>3500</c:v>
                </c:pt>
                <c:pt idx="6">
                  <c:v>3600</c:v>
                </c:pt>
              </c:numCache>
            </c:numRef>
          </c:yVal>
          <c:smooth val="0"/>
          <c:extLst>
            <c:ext xmlns:c16="http://schemas.microsoft.com/office/drawing/2014/chart" uri="{C3380CC4-5D6E-409C-BE32-E72D297353CC}">
              <c16:uniqueId val="{00000001-25A6-41BB-B0BE-31F59139BF8E}"/>
            </c:ext>
          </c:extLst>
        </c:ser>
        <c:dLbls>
          <c:showLegendKey val="0"/>
          <c:showVal val="0"/>
          <c:showCatName val="0"/>
          <c:showSerName val="0"/>
          <c:showPercent val="0"/>
          <c:showBubbleSize val="0"/>
        </c:dLbls>
        <c:axId val="-838127392"/>
        <c:axId val="-838131040"/>
      </c:scatterChart>
      <c:valAx>
        <c:axId val="-83812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E"/>
                <a:ea typeface="Arial CE"/>
                <a:cs typeface="Arial CE"/>
              </a:defRPr>
            </a:pPr>
            <a:endParaRPr lang="pl-PL"/>
          </a:p>
        </c:txPr>
        <c:crossAx val="-838131040"/>
        <c:crosses val="autoZero"/>
        <c:crossBetween val="midCat"/>
      </c:valAx>
      <c:valAx>
        <c:axId val="-8381310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CE"/>
                <a:ea typeface="Arial CE"/>
                <a:cs typeface="Arial CE"/>
              </a:defRPr>
            </a:pPr>
            <a:endParaRPr lang="pl-PL"/>
          </a:p>
        </c:txPr>
        <c:crossAx val="-8381273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wielomianowa (wielomian stopnia 2)
</a:t>
            </a:r>
          </a:p>
        </c:rich>
      </c:tx>
      <c:layout>
        <c:manualLayout>
          <c:xMode val="edge"/>
          <c:yMode val="edge"/>
          <c:x val="0.14807323526749858"/>
          <c:y val="1.7793594306049824E-2"/>
        </c:manualLayout>
      </c:layout>
      <c:overlay val="0"/>
      <c:spPr>
        <a:noFill/>
        <a:ln w="25400">
          <a:noFill/>
        </a:ln>
      </c:spPr>
    </c:title>
    <c:autoTitleDeleted val="0"/>
    <c:plotArea>
      <c:layout>
        <c:manualLayout>
          <c:layoutTarget val="inner"/>
          <c:xMode val="edge"/>
          <c:yMode val="edge"/>
          <c:x val="0.11359037619482937"/>
          <c:y val="0.15658362989323843"/>
          <c:w val="0.83570062486195851"/>
          <c:h val="0.7544483985765133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2"/>
            <c:dispRSqr val="1"/>
            <c:dispEq val="1"/>
            <c:trendlineLbl>
              <c:layout>
                <c:manualLayout>
                  <c:x val="-0.27105446638900454"/>
                  <c:y val="3.2415538804980409E-2"/>
                </c:manualLayout>
              </c:layout>
              <c:numFmt formatCode="General" sourceLinked="0"/>
              <c:spPr>
                <a:noFill/>
                <a:ln w="25400">
                  <a:noFill/>
                </a:ln>
              </c:spPr>
              <c:txPr>
                <a:bodyPr/>
                <a:lstStyle/>
                <a:p>
                  <a:pPr>
                    <a:defRPr sz="1000"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7500</c:v>
                </c:pt>
                <c:pt idx="2">
                  <c:v>8000</c:v>
                </c:pt>
                <c:pt idx="3">
                  <c:v>8500</c:v>
                </c:pt>
                <c:pt idx="4">
                  <c:v>9000</c:v>
                </c:pt>
                <c:pt idx="5">
                  <c:v>9500</c:v>
                </c:pt>
                <c:pt idx="6">
                  <c:v>10000</c:v>
                </c:pt>
              </c:numCache>
            </c:numRef>
          </c:xVal>
          <c:yVal>
            <c:numRef>
              <c:f>'Regresja '!$B$5:$B$35</c:f>
              <c:numCache>
                <c:formatCode>0</c:formatCode>
                <c:ptCount val="31"/>
                <c:pt idx="0">
                  <c:v>2000</c:v>
                </c:pt>
                <c:pt idx="1">
                  <c:v>2500</c:v>
                </c:pt>
                <c:pt idx="2">
                  <c:v>2800</c:v>
                </c:pt>
                <c:pt idx="3">
                  <c:v>3000</c:v>
                </c:pt>
                <c:pt idx="4">
                  <c:v>3300</c:v>
                </c:pt>
                <c:pt idx="5">
                  <c:v>3500</c:v>
                </c:pt>
                <c:pt idx="6">
                  <c:v>3600</c:v>
                </c:pt>
              </c:numCache>
            </c:numRef>
          </c:yVal>
          <c:smooth val="0"/>
          <c:extLst>
            <c:ext xmlns:c16="http://schemas.microsoft.com/office/drawing/2014/chart" uri="{C3380CC4-5D6E-409C-BE32-E72D297353CC}">
              <c16:uniqueId val="{00000001-1D78-4C03-BB6B-B2E3E48C7C49}"/>
            </c:ext>
          </c:extLst>
        </c:ser>
        <c:dLbls>
          <c:showLegendKey val="0"/>
          <c:showVal val="0"/>
          <c:showCatName val="0"/>
          <c:showSerName val="0"/>
          <c:showPercent val="0"/>
          <c:showBubbleSize val="0"/>
        </c:dLbls>
        <c:axId val="-838145024"/>
        <c:axId val="-838124960"/>
      </c:scatterChart>
      <c:valAx>
        <c:axId val="-838145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838124960"/>
        <c:crosses val="autoZero"/>
        <c:crossBetween val="midCat"/>
      </c:valAx>
      <c:valAx>
        <c:axId val="-83812496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8381450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wielomianowa (wielomian stopnia 3)
</a:t>
            </a:r>
          </a:p>
        </c:rich>
      </c:tx>
      <c:layout>
        <c:manualLayout>
          <c:xMode val="edge"/>
          <c:yMode val="edge"/>
          <c:x val="0.14078696684653549"/>
          <c:y val="2.0761245674740521E-2"/>
        </c:manualLayout>
      </c:layout>
      <c:overlay val="0"/>
      <c:spPr>
        <a:noFill/>
        <a:ln w="25400">
          <a:noFill/>
        </a:ln>
      </c:spPr>
    </c:title>
    <c:autoTitleDeleted val="0"/>
    <c:plotArea>
      <c:layout>
        <c:manualLayout>
          <c:layoutTarget val="inner"/>
          <c:xMode val="edge"/>
          <c:yMode val="edge"/>
          <c:x val="0.11594226340552102"/>
          <c:y val="0.15224939218174288"/>
          <c:w val="0.83229981944677689"/>
          <c:h val="0.7612469609087116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3"/>
            <c:dispRSqr val="1"/>
            <c:dispEq val="1"/>
            <c:trendlineLbl>
              <c:layout>
                <c:manualLayout>
                  <c:x val="-0.12405970992756342"/>
                  <c:y val="-3.5593820668610242E-2"/>
                </c:manualLayout>
              </c:layout>
              <c:numFmt formatCode="General" sourceLinked="0"/>
              <c:spPr>
                <a:noFill/>
                <a:ln w="25400">
                  <a:noFill/>
                </a:ln>
              </c:spPr>
              <c:txPr>
                <a:bodyPr/>
                <a:lstStyle/>
                <a:p>
                  <a:pPr>
                    <a:defRPr sz="1000"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7500</c:v>
                </c:pt>
                <c:pt idx="2">
                  <c:v>8000</c:v>
                </c:pt>
                <c:pt idx="3">
                  <c:v>8500</c:v>
                </c:pt>
                <c:pt idx="4">
                  <c:v>9000</c:v>
                </c:pt>
                <c:pt idx="5">
                  <c:v>9500</c:v>
                </c:pt>
                <c:pt idx="6">
                  <c:v>10000</c:v>
                </c:pt>
              </c:numCache>
            </c:numRef>
          </c:xVal>
          <c:yVal>
            <c:numRef>
              <c:f>'Regresja '!$B$5:$B$35</c:f>
              <c:numCache>
                <c:formatCode>0</c:formatCode>
                <c:ptCount val="31"/>
                <c:pt idx="0">
                  <c:v>2000</c:v>
                </c:pt>
                <c:pt idx="1">
                  <c:v>2500</c:v>
                </c:pt>
                <c:pt idx="2">
                  <c:v>2800</c:v>
                </c:pt>
                <c:pt idx="3">
                  <c:v>3000</c:v>
                </c:pt>
                <c:pt idx="4">
                  <c:v>3300</c:v>
                </c:pt>
                <c:pt idx="5">
                  <c:v>3500</c:v>
                </c:pt>
                <c:pt idx="6">
                  <c:v>3600</c:v>
                </c:pt>
              </c:numCache>
            </c:numRef>
          </c:yVal>
          <c:smooth val="0"/>
          <c:extLst>
            <c:ext xmlns:c16="http://schemas.microsoft.com/office/drawing/2014/chart" uri="{C3380CC4-5D6E-409C-BE32-E72D297353CC}">
              <c16:uniqueId val="{00000001-97B4-49D8-BAF3-D2BB949FA128}"/>
            </c:ext>
          </c:extLst>
        </c:ser>
        <c:dLbls>
          <c:showLegendKey val="0"/>
          <c:showVal val="0"/>
          <c:showCatName val="0"/>
          <c:showSerName val="0"/>
          <c:showPercent val="0"/>
          <c:showBubbleSize val="0"/>
        </c:dLbls>
        <c:axId val="-838169952"/>
        <c:axId val="-838173600"/>
      </c:scatterChart>
      <c:valAx>
        <c:axId val="-83816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838173600"/>
        <c:crosses val="autoZero"/>
        <c:crossBetween val="midCat"/>
      </c:valAx>
      <c:valAx>
        <c:axId val="-838173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838169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CE"/>
                <a:ea typeface="Arial CE"/>
                <a:cs typeface="Arial CE"/>
              </a:defRPr>
            </a:pPr>
            <a:r>
              <a:rPr lang="pl-PL"/>
              <a:t>Regresja wielomianowa (wielomian stopnia 4)
</a:t>
            </a:r>
          </a:p>
        </c:rich>
      </c:tx>
      <c:layout>
        <c:manualLayout>
          <c:xMode val="edge"/>
          <c:yMode val="edge"/>
          <c:x val="0.14049608468362962"/>
          <c:y val="1.7667844522968202E-2"/>
        </c:manualLayout>
      </c:layout>
      <c:overlay val="0"/>
      <c:spPr>
        <a:noFill/>
        <a:ln w="25400">
          <a:noFill/>
        </a:ln>
      </c:spPr>
    </c:title>
    <c:autoTitleDeleted val="0"/>
    <c:plotArea>
      <c:layout>
        <c:manualLayout>
          <c:layoutTarget val="inner"/>
          <c:xMode val="edge"/>
          <c:yMode val="edge"/>
          <c:x val="0.11570259606489305"/>
          <c:y val="0.15547730005883559"/>
          <c:w val="0.83264546810985662"/>
          <c:h val="0.756185050286154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ly"/>
            <c:order val="4"/>
            <c:dispRSqr val="1"/>
            <c:dispEq val="1"/>
            <c:trendlineLbl>
              <c:layout>
                <c:manualLayout>
                  <c:x val="3.0339403105728271E-2"/>
                  <c:y val="8.2334144679304999E-2"/>
                </c:manualLayout>
              </c:layout>
              <c:numFmt formatCode="General" sourceLinked="0"/>
              <c:spPr>
                <a:noFill/>
                <a:ln w="25400">
                  <a:noFill/>
                </a:ln>
              </c:spPr>
              <c:txPr>
                <a:bodyPr/>
                <a:lstStyle/>
                <a:p>
                  <a:pPr>
                    <a:defRPr sz="1000" b="0" i="0" u="none" strike="noStrike" baseline="0">
                      <a:solidFill>
                        <a:srgbClr val="000000"/>
                      </a:solidFill>
                      <a:latin typeface="Arial CE"/>
                      <a:ea typeface="Arial CE"/>
                      <a:cs typeface="Arial CE"/>
                    </a:defRPr>
                  </a:pPr>
                  <a:endParaRPr lang="pl-PL"/>
                </a:p>
              </c:txPr>
            </c:trendlineLbl>
          </c:trendline>
          <c:xVal>
            <c:numRef>
              <c:f>'Regresja '!$A$5:$A$35</c:f>
              <c:numCache>
                <c:formatCode>General</c:formatCode>
                <c:ptCount val="31"/>
                <c:pt idx="0">
                  <c:v>7000</c:v>
                </c:pt>
                <c:pt idx="1">
                  <c:v>7500</c:v>
                </c:pt>
                <c:pt idx="2">
                  <c:v>8000</c:v>
                </c:pt>
                <c:pt idx="3">
                  <c:v>8500</c:v>
                </c:pt>
                <c:pt idx="4">
                  <c:v>9000</c:v>
                </c:pt>
                <c:pt idx="5">
                  <c:v>9500</c:v>
                </c:pt>
                <c:pt idx="6">
                  <c:v>10000</c:v>
                </c:pt>
              </c:numCache>
            </c:numRef>
          </c:xVal>
          <c:yVal>
            <c:numRef>
              <c:f>'Regresja '!$B$5:$B$35</c:f>
              <c:numCache>
                <c:formatCode>0</c:formatCode>
                <c:ptCount val="31"/>
                <c:pt idx="0">
                  <c:v>2000</c:v>
                </c:pt>
                <c:pt idx="1">
                  <c:v>2500</c:v>
                </c:pt>
                <c:pt idx="2">
                  <c:v>2800</c:v>
                </c:pt>
                <c:pt idx="3">
                  <c:v>3000</c:v>
                </c:pt>
                <c:pt idx="4">
                  <c:v>3300</c:v>
                </c:pt>
                <c:pt idx="5">
                  <c:v>3500</c:v>
                </c:pt>
                <c:pt idx="6">
                  <c:v>3600</c:v>
                </c:pt>
              </c:numCache>
            </c:numRef>
          </c:yVal>
          <c:smooth val="0"/>
          <c:extLst>
            <c:ext xmlns:c16="http://schemas.microsoft.com/office/drawing/2014/chart" uri="{C3380CC4-5D6E-409C-BE32-E72D297353CC}">
              <c16:uniqueId val="{00000001-CCF3-46D3-9D12-BA60DB536E65}"/>
            </c:ext>
          </c:extLst>
        </c:ser>
        <c:dLbls>
          <c:showLegendKey val="0"/>
          <c:showVal val="0"/>
          <c:showCatName val="0"/>
          <c:showSerName val="0"/>
          <c:showPercent val="0"/>
          <c:showBubbleSize val="0"/>
        </c:dLbls>
        <c:axId val="-838175424"/>
        <c:axId val="-838181504"/>
      </c:scatterChart>
      <c:valAx>
        <c:axId val="-838175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838181504"/>
        <c:crosses val="autoZero"/>
        <c:crossBetween val="midCat"/>
      </c:valAx>
      <c:valAx>
        <c:axId val="-8381815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E"/>
                <a:ea typeface="Arial CE"/>
                <a:cs typeface="Arial CE"/>
              </a:defRPr>
            </a:pPr>
            <a:endParaRPr lang="pl-PL"/>
          </a:p>
        </c:txPr>
        <c:crossAx val="-8381754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6.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66675</xdr:colOff>
      <xdr:row>33</xdr:row>
      <xdr:rowOff>114300</xdr:rowOff>
    </xdr:to>
    <xdr:pic>
      <xdr:nvPicPr>
        <xdr:cNvPr id="3" name="Obraz 2">
          <a:extLst>
            <a:ext uri="{FF2B5EF4-FFF2-40B4-BE49-F238E27FC236}">
              <a16:creationId xmlns:a16="http://schemas.microsoft.com/office/drawing/2014/main" id="{28C7D839-47FE-44EC-866B-164E61313D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23850"/>
          <a:ext cx="7991475" cy="513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xdr:row>
      <xdr:rowOff>0</xdr:rowOff>
    </xdr:from>
    <xdr:to>
      <xdr:col>27</xdr:col>
      <xdr:colOff>561975</xdr:colOff>
      <xdr:row>28</xdr:row>
      <xdr:rowOff>152400</xdr:rowOff>
    </xdr:to>
    <xdr:pic>
      <xdr:nvPicPr>
        <xdr:cNvPr id="6" name="Obraz 5">
          <a:extLst>
            <a:ext uri="{FF2B5EF4-FFF2-40B4-BE49-F238E27FC236}">
              <a16:creationId xmlns:a16="http://schemas.microsoft.com/office/drawing/2014/main" id="{EECCEC03-4E7F-404A-8081-5723699843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323850"/>
          <a:ext cx="7877175" cy="436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0</xdr:rowOff>
    </xdr:from>
    <xdr:to>
      <xdr:col>13</xdr:col>
      <xdr:colOff>295275</xdr:colOff>
      <xdr:row>56</xdr:row>
      <xdr:rowOff>57150</xdr:rowOff>
    </xdr:to>
    <xdr:pic>
      <xdr:nvPicPr>
        <xdr:cNvPr id="8" name="Obraz 7">
          <a:extLst>
            <a:ext uri="{FF2B5EF4-FFF2-40B4-BE49-F238E27FC236}">
              <a16:creationId xmlns:a16="http://schemas.microsoft.com/office/drawing/2014/main" id="{9207DA72-C3BB-4A92-B52A-E74F5E39B3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200" y="5667375"/>
          <a:ext cx="7000875"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85724</xdr:colOff>
      <xdr:row>0</xdr:row>
      <xdr:rowOff>114301</xdr:rowOff>
    </xdr:from>
    <xdr:to>
      <xdr:col>24</xdr:col>
      <xdr:colOff>85725</xdr:colOff>
      <xdr:row>10</xdr:row>
      <xdr:rowOff>57151</xdr:rowOff>
    </xdr:to>
    <xdr:graphicFrame macro="">
      <xdr:nvGraphicFramePr>
        <xdr:cNvPr id="2" name="Wykres 1">
          <a:extLst>
            <a:ext uri="{FF2B5EF4-FFF2-40B4-BE49-F238E27FC236}">
              <a16:creationId xmlns:a16="http://schemas.microsoft.com/office/drawing/2014/main" id="{90168F3E-7608-4BE5-9AD7-DD8FB33350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47624</xdr:colOff>
      <xdr:row>11</xdr:row>
      <xdr:rowOff>47625</xdr:rowOff>
    </xdr:from>
    <xdr:to>
      <xdr:col>24</xdr:col>
      <xdr:colOff>38099</xdr:colOff>
      <xdr:row>23</xdr:row>
      <xdr:rowOff>38100</xdr:rowOff>
    </xdr:to>
    <xdr:graphicFrame macro="">
      <xdr:nvGraphicFramePr>
        <xdr:cNvPr id="5" name="Wykres 4">
          <a:extLst>
            <a:ext uri="{FF2B5EF4-FFF2-40B4-BE49-F238E27FC236}">
              <a16:creationId xmlns:a16="http://schemas.microsoft.com/office/drawing/2014/main" id="{79EF4AF2-E781-478C-AA41-F0F8D58AC9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xdr:row>
      <xdr:rowOff>0</xdr:rowOff>
    </xdr:from>
    <xdr:to>
      <xdr:col>9</xdr:col>
      <xdr:colOff>485775</xdr:colOff>
      <xdr:row>18</xdr:row>
      <xdr:rowOff>76200</xdr:rowOff>
    </xdr:to>
    <xdr:graphicFrame macro="">
      <xdr:nvGraphicFramePr>
        <xdr:cNvPr id="2" name="Chart 1">
          <a:extLst>
            <a:ext uri="{FF2B5EF4-FFF2-40B4-BE49-F238E27FC236}">
              <a16:creationId xmlns:a16="http://schemas.microsoft.com/office/drawing/2014/main" id="{814BF5B8-C1E0-4CE6-829C-6F6106DCB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19</xdr:row>
      <xdr:rowOff>95250</xdr:rowOff>
    </xdr:from>
    <xdr:to>
      <xdr:col>9</xdr:col>
      <xdr:colOff>466725</xdr:colOff>
      <xdr:row>36</xdr:row>
      <xdr:rowOff>19050</xdr:rowOff>
    </xdr:to>
    <xdr:graphicFrame macro="">
      <xdr:nvGraphicFramePr>
        <xdr:cNvPr id="3" name="Chart 3">
          <a:extLst>
            <a:ext uri="{FF2B5EF4-FFF2-40B4-BE49-F238E27FC236}">
              <a16:creationId xmlns:a16="http://schemas.microsoft.com/office/drawing/2014/main" id="{5DDD5AB8-2FF3-4D1C-B5AE-216217EFD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xdr:row>
      <xdr:rowOff>9525</xdr:rowOff>
    </xdr:from>
    <xdr:to>
      <xdr:col>17</xdr:col>
      <xdr:colOff>333375</xdr:colOff>
      <xdr:row>18</xdr:row>
      <xdr:rowOff>104775</xdr:rowOff>
    </xdr:to>
    <xdr:graphicFrame macro="">
      <xdr:nvGraphicFramePr>
        <xdr:cNvPr id="4" name="Chart 4">
          <a:extLst>
            <a:ext uri="{FF2B5EF4-FFF2-40B4-BE49-F238E27FC236}">
              <a16:creationId xmlns:a16="http://schemas.microsoft.com/office/drawing/2014/main" id="{4505BFEB-BDBC-455B-95DE-89E631DF09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xdr:colOff>
      <xdr:row>19</xdr:row>
      <xdr:rowOff>152400</xdr:rowOff>
    </xdr:from>
    <xdr:to>
      <xdr:col>17</xdr:col>
      <xdr:colOff>371475</xdr:colOff>
      <xdr:row>36</xdr:row>
      <xdr:rowOff>95250</xdr:rowOff>
    </xdr:to>
    <xdr:graphicFrame macro="">
      <xdr:nvGraphicFramePr>
        <xdr:cNvPr id="5" name="Chart 5">
          <a:extLst>
            <a:ext uri="{FF2B5EF4-FFF2-40B4-BE49-F238E27FC236}">
              <a16:creationId xmlns:a16="http://schemas.microsoft.com/office/drawing/2014/main" id="{6A726D5B-9A60-482D-86A5-E48954E95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19</xdr:col>
      <xdr:colOff>116541</xdr:colOff>
      <xdr:row>10</xdr:row>
      <xdr:rowOff>0</xdr:rowOff>
    </xdr:from>
    <xdr:to>
      <xdr:col>19</xdr:col>
      <xdr:colOff>550919</xdr:colOff>
      <xdr:row>13</xdr:row>
      <xdr:rowOff>143044</xdr:rowOff>
    </xdr:to>
    <xdr:pic>
      <xdr:nvPicPr>
        <xdr:cNvPr id="6" name="Obraz 5">
          <a:extLst>
            <a:ext uri="{FF2B5EF4-FFF2-40B4-BE49-F238E27FC236}">
              <a16:creationId xmlns:a16="http://schemas.microsoft.com/office/drawing/2014/main" id="{B8F2375E-AC71-4BB9-2595-904B31735DFB}"/>
            </a:ext>
          </a:extLst>
        </xdr:cNvPr>
        <xdr:cNvPicPr>
          <a:picLocks noChangeAspect="1"/>
        </xdr:cNvPicPr>
      </xdr:nvPicPr>
      <xdr:blipFill>
        <a:blip xmlns:r="http://schemas.openxmlformats.org/officeDocument/2006/relationships" r:embed="rId5"/>
        <a:stretch>
          <a:fillRect/>
        </a:stretch>
      </xdr:blipFill>
      <xdr:spPr>
        <a:xfrm>
          <a:off x="11824447" y="1918447"/>
          <a:ext cx="434378" cy="662997"/>
        </a:xfrm>
        <a:prstGeom prst="rect">
          <a:avLst/>
        </a:prstGeom>
      </xdr:spPr>
    </xdr:pic>
    <xdr:clientData/>
  </xdr:twoCellAnchor>
  <xdr:twoCellAnchor editAs="oneCell">
    <xdr:from>
      <xdr:col>19</xdr:col>
      <xdr:colOff>17930</xdr:colOff>
      <xdr:row>16</xdr:row>
      <xdr:rowOff>107577</xdr:rowOff>
    </xdr:from>
    <xdr:to>
      <xdr:col>22</xdr:col>
      <xdr:colOff>566776</xdr:colOff>
      <xdr:row>22</xdr:row>
      <xdr:rowOff>38183</xdr:rowOff>
    </xdr:to>
    <xdr:pic>
      <xdr:nvPicPr>
        <xdr:cNvPr id="7" name="Obraz 6">
          <a:extLst>
            <a:ext uri="{FF2B5EF4-FFF2-40B4-BE49-F238E27FC236}">
              <a16:creationId xmlns:a16="http://schemas.microsoft.com/office/drawing/2014/main" id="{DDE9DD8E-A34E-32E0-EAF2-24C71FA4F333}"/>
            </a:ext>
          </a:extLst>
        </xdr:cNvPr>
        <xdr:cNvPicPr>
          <a:picLocks noChangeAspect="1"/>
        </xdr:cNvPicPr>
      </xdr:nvPicPr>
      <xdr:blipFill>
        <a:blip xmlns:r="http://schemas.openxmlformats.org/officeDocument/2006/relationships" r:embed="rId6"/>
        <a:stretch>
          <a:fillRect/>
        </a:stretch>
      </xdr:blipFill>
      <xdr:spPr>
        <a:xfrm>
          <a:off x="11725836" y="3056965"/>
          <a:ext cx="2377646" cy="952583"/>
        </a:xfrm>
        <a:prstGeom prst="rect">
          <a:avLst/>
        </a:prstGeom>
      </xdr:spPr>
    </xdr:pic>
    <xdr:clientData/>
  </xdr:twoCellAnchor>
  <xdr:twoCellAnchor editAs="oneCell">
    <xdr:from>
      <xdr:col>18</xdr:col>
      <xdr:colOff>154961</xdr:colOff>
      <xdr:row>22</xdr:row>
      <xdr:rowOff>9605</xdr:rowOff>
    </xdr:from>
    <xdr:to>
      <xdr:col>27</xdr:col>
      <xdr:colOff>239264</xdr:colOff>
      <xdr:row>40</xdr:row>
      <xdr:rowOff>160171</xdr:rowOff>
    </xdr:to>
    <xdr:pic>
      <xdr:nvPicPr>
        <xdr:cNvPr id="9" name="Obraz 8">
          <a:extLst>
            <a:ext uri="{FF2B5EF4-FFF2-40B4-BE49-F238E27FC236}">
              <a16:creationId xmlns:a16="http://schemas.microsoft.com/office/drawing/2014/main" id="{16214F1C-A238-3087-A018-D1F30C66CA8D}"/>
            </a:ext>
          </a:extLst>
        </xdr:cNvPr>
        <xdr:cNvPicPr>
          <a:picLocks noChangeAspect="1"/>
        </xdr:cNvPicPr>
      </xdr:nvPicPr>
      <xdr:blipFill>
        <a:blip xmlns:r="http://schemas.openxmlformats.org/officeDocument/2006/relationships" r:embed="rId7"/>
        <a:stretch>
          <a:fillRect/>
        </a:stretch>
      </xdr:blipFill>
      <xdr:spPr>
        <a:xfrm>
          <a:off x="11247504" y="3917576"/>
          <a:ext cx="5570703" cy="3089709"/>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support.microsoft.com/pl-pl/office/reglinp-funkcja-84d7d0d9-6e50-4101-977a-fa7abf772b6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O36:U38"/>
  <sheetViews>
    <sheetView tabSelected="1" zoomScale="55" zoomScaleNormal="55" workbookViewId="0">
      <selection activeCell="P44" sqref="P44"/>
    </sheetView>
  </sheetViews>
  <sheetFormatPr defaultRowHeight="12.75" x14ac:dyDescent="0.2"/>
  <sheetData>
    <row r="36" spans="15:21" ht="15.75" x14ac:dyDescent="0.25">
      <c r="O36" s="30" t="s">
        <v>32</v>
      </c>
      <c r="P36" s="30"/>
      <c r="Q36" s="30"/>
      <c r="R36" s="30"/>
      <c r="S36" s="30"/>
      <c r="T36" s="30"/>
      <c r="U36" s="30"/>
    </row>
    <row r="37" spans="15:21" ht="15.75" x14ac:dyDescent="0.25">
      <c r="O37" s="30" t="s">
        <v>33</v>
      </c>
      <c r="P37" s="30"/>
      <c r="Q37" s="30"/>
      <c r="R37" s="30"/>
      <c r="S37" s="30"/>
      <c r="T37" s="30"/>
      <c r="U37" s="30"/>
    </row>
    <row r="38" spans="15:21" ht="15.75" x14ac:dyDescent="0.25">
      <c r="O38" s="30" t="s">
        <v>34</v>
      </c>
      <c r="P38" s="30"/>
      <c r="Q38" s="30"/>
      <c r="R38" s="30"/>
      <c r="S38" s="30"/>
      <c r="T38" s="30"/>
      <c r="U38" s="30"/>
    </row>
  </sheetData>
  <phoneticPr fontId="0"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3:K6"/>
  <sheetViews>
    <sheetView workbookViewId="0">
      <selection activeCell="K14" sqref="K14"/>
    </sheetView>
  </sheetViews>
  <sheetFormatPr defaultRowHeight="12.75" x14ac:dyDescent="0.2"/>
  <sheetData>
    <row r="3" spans="2:11" ht="21" x14ac:dyDescent="0.35">
      <c r="B3" s="76" t="s">
        <v>101</v>
      </c>
      <c r="C3" s="76"/>
      <c r="D3" s="76"/>
      <c r="E3" s="76"/>
      <c r="F3" s="76"/>
      <c r="G3" s="76"/>
      <c r="H3" s="76"/>
      <c r="I3" s="76"/>
      <c r="J3" s="76"/>
      <c r="K3" s="76"/>
    </row>
    <row r="4" spans="2:11" ht="21" x14ac:dyDescent="0.35">
      <c r="B4" s="76"/>
      <c r="C4" s="76"/>
      <c r="D4" s="76"/>
      <c r="E4" s="76"/>
      <c r="F4" s="76"/>
      <c r="G4" s="76"/>
      <c r="H4" s="76"/>
      <c r="I4" s="76"/>
      <c r="J4" s="76"/>
      <c r="K4" s="76"/>
    </row>
    <row r="5" spans="2:11" ht="21" x14ac:dyDescent="0.35">
      <c r="B5" s="76" t="s">
        <v>102</v>
      </c>
      <c r="C5" s="76"/>
      <c r="D5" s="76"/>
      <c r="E5" s="76"/>
      <c r="F5" s="76"/>
      <c r="G5" s="76"/>
      <c r="H5" s="76"/>
      <c r="I5" s="76"/>
      <c r="J5" s="76"/>
      <c r="K5" s="76"/>
    </row>
    <row r="6" spans="2:11" ht="21" x14ac:dyDescent="0.35">
      <c r="B6" s="76"/>
      <c r="C6" s="76"/>
      <c r="D6" s="76"/>
      <c r="E6" s="76"/>
      <c r="F6" s="76"/>
      <c r="G6" s="76"/>
      <c r="H6" s="76"/>
      <c r="I6" s="76"/>
      <c r="J6" s="76"/>
      <c r="K6" s="7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AH76"/>
  <sheetViews>
    <sheetView workbookViewId="0">
      <selection activeCell="B34" sqref="B34"/>
    </sheetView>
  </sheetViews>
  <sheetFormatPr defaultColWidth="9.140625" defaultRowHeight="15" x14ac:dyDescent="0.25"/>
  <cols>
    <col min="1" max="4" width="9.140625" style="31"/>
    <col min="5" max="5" width="12" style="31" bestFit="1" customWidth="1"/>
    <col min="6" max="7" width="9.140625" style="31"/>
    <col min="8" max="8" width="12" style="31" bestFit="1" customWidth="1"/>
    <col min="9" max="16384" width="9.140625" style="31"/>
  </cols>
  <sheetData>
    <row r="1" spans="2:19" x14ac:dyDescent="0.25">
      <c r="M1" s="31">
        <f>70000000/M3</f>
        <v>10000</v>
      </c>
    </row>
    <row r="2" spans="2:19" x14ac:dyDescent="0.25">
      <c r="B2" s="73" t="s">
        <v>100</v>
      </c>
      <c r="C2" s="73"/>
      <c r="D2" s="73"/>
      <c r="E2" s="73"/>
      <c r="F2" s="73"/>
    </row>
    <row r="3" spans="2:19" x14ac:dyDescent="0.25">
      <c r="B3" t="s">
        <v>75</v>
      </c>
      <c r="C3" s="60"/>
      <c r="D3"/>
      <c r="H3" s="94" t="s">
        <v>110</v>
      </c>
      <c r="I3" s="94"/>
      <c r="J3" s="94"/>
      <c r="K3" s="94"/>
      <c r="L3" s="39">
        <v>9306.5916595328363</v>
      </c>
      <c r="M3" s="31">
        <v>7000</v>
      </c>
      <c r="N3" s="31">
        <v>7500</v>
      </c>
      <c r="O3" s="31">
        <v>8000</v>
      </c>
      <c r="P3" s="31">
        <v>8500</v>
      </c>
      <c r="Q3" s="31">
        <v>9000</v>
      </c>
      <c r="R3" s="31">
        <v>9500</v>
      </c>
      <c r="S3" s="31">
        <v>10000</v>
      </c>
    </row>
    <row r="4" spans="2:19" x14ac:dyDescent="0.25">
      <c r="B4" t="s">
        <v>76</v>
      </c>
      <c r="C4"/>
      <c r="D4"/>
      <c r="L4" s="40"/>
    </row>
    <row r="5" spans="2:19" x14ac:dyDescent="0.25">
      <c r="B5" t="s">
        <v>77</v>
      </c>
      <c r="C5"/>
      <c r="D5"/>
      <c r="H5" s="34">
        <v>2.222E-8</v>
      </c>
      <c r="J5" s="89" t="s">
        <v>112</v>
      </c>
      <c r="L5" s="41">
        <f>$H$5*L3^3+$H$6*L3^2+$H$7*L3+$H$8</f>
        <v>3411.1264613654275</v>
      </c>
      <c r="M5" s="32">
        <v>2000</v>
      </c>
      <c r="N5" s="32">
        <v>2500</v>
      </c>
      <c r="O5" s="32">
        <v>2800</v>
      </c>
      <c r="P5" s="32">
        <v>3000</v>
      </c>
      <c r="Q5" s="32">
        <v>3300</v>
      </c>
      <c r="R5" s="32">
        <v>3500</v>
      </c>
      <c r="S5" s="32">
        <v>3600</v>
      </c>
    </row>
    <row r="6" spans="2:19" x14ac:dyDescent="0.25">
      <c r="B6" t="s">
        <v>78</v>
      </c>
      <c r="C6"/>
      <c r="D6"/>
      <c r="H6" s="34">
        <v>-6.7599999999999995E-4</v>
      </c>
      <c r="L6" s="40"/>
    </row>
    <row r="7" spans="2:19" x14ac:dyDescent="0.25">
      <c r="B7" t="s">
        <v>79</v>
      </c>
      <c r="C7"/>
      <c r="D7"/>
      <c r="H7" s="31">
        <v>7.1611000000000002</v>
      </c>
      <c r="L7" s="40"/>
    </row>
    <row r="8" spans="2:19" x14ac:dyDescent="0.25">
      <c r="D8"/>
      <c r="H8" s="31">
        <v>-22595</v>
      </c>
      <c r="L8" s="40"/>
    </row>
    <row r="9" spans="2:19" x14ac:dyDescent="0.25">
      <c r="D9"/>
      <c r="L9" s="40"/>
    </row>
    <row r="11" spans="2:19" x14ac:dyDescent="0.25">
      <c r="B11" s="73" t="s">
        <v>96</v>
      </c>
    </row>
    <row r="12" spans="2:19" x14ac:dyDescent="0.25">
      <c r="J12" s="89" t="s">
        <v>112</v>
      </c>
      <c r="L12" s="31">
        <v>2000</v>
      </c>
      <c r="M12" s="31">
        <v>2500</v>
      </c>
      <c r="N12" s="31">
        <v>2800</v>
      </c>
      <c r="O12" s="31">
        <v>3000</v>
      </c>
      <c r="P12" s="31">
        <v>3300</v>
      </c>
      <c r="Q12" s="31">
        <v>3500</v>
      </c>
      <c r="R12" s="31">
        <v>3600</v>
      </c>
    </row>
    <row r="13" spans="2:19" x14ac:dyDescent="0.25">
      <c r="B13" s="31" t="s">
        <v>80</v>
      </c>
    </row>
    <row r="14" spans="2:19" ht="15.75" x14ac:dyDescent="0.25">
      <c r="B14" s="31" t="s">
        <v>81</v>
      </c>
      <c r="I14" s="94" t="s">
        <v>111</v>
      </c>
      <c r="J14" s="94"/>
      <c r="K14" s="94"/>
      <c r="L14" s="59">
        <v>1</v>
      </c>
      <c r="M14" s="31">
        <v>0.9</v>
      </c>
      <c r="N14" s="31">
        <v>0.8</v>
      </c>
      <c r="O14" s="31">
        <v>0.7</v>
      </c>
      <c r="P14" s="31">
        <v>0.65</v>
      </c>
      <c r="Q14" s="31">
        <v>0.6</v>
      </c>
      <c r="R14" s="31">
        <v>0.55000000000000004</v>
      </c>
    </row>
    <row r="15" spans="2:19" x14ac:dyDescent="0.25">
      <c r="B15" s="31" t="s">
        <v>82</v>
      </c>
    </row>
    <row r="16" spans="2:19" x14ac:dyDescent="0.25">
      <c r="B16" s="31" t="s">
        <v>83</v>
      </c>
    </row>
    <row r="17" spans="2:34" x14ac:dyDescent="0.25">
      <c r="B17" s="31" t="s">
        <v>84</v>
      </c>
      <c r="G17" s="89" t="s">
        <v>113</v>
      </c>
      <c r="K17" s="41">
        <f>L5</f>
        <v>3411.1264613654275</v>
      </c>
      <c r="L17" s="77">
        <f>-0.0002843*L5+1.5836</f>
        <v>0.61381674703380873</v>
      </c>
    </row>
    <row r="20" spans="2:34" x14ac:dyDescent="0.25">
      <c r="L20" s="31">
        <v>0.4</v>
      </c>
      <c r="M20" s="31">
        <v>0.5</v>
      </c>
      <c r="N20" s="31">
        <v>0.6</v>
      </c>
      <c r="O20" s="31">
        <v>0.7</v>
      </c>
      <c r="P20" s="31">
        <v>0.8</v>
      </c>
      <c r="Q20" s="31">
        <v>0.9</v>
      </c>
      <c r="R20" s="31">
        <v>0.9</v>
      </c>
      <c r="S20" s="31">
        <v>0.9</v>
      </c>
      <c r="T20" s="31">
        <v>0.9</v>
      </c>
      <c r="U20" s="31">
        <v>0.9</v>
      </c>
      <c r="V20" s="31">
        <v>0.9</v>
      </c>
      <c r="W20" s="31">
        <v>0.9</v>
      </c>
      <c r="X20" s="31">
        <v>0.9</v>
      </c>
      <c r="Y20" s="31">
        <v>0.9</v>
      </c>
      <c r="Z20" s="31">
        <v>0.9</v>
      </c>
      <c r="AA20" s="31">
        <v>0.9</v>
      </c>
      <c r="AB20" s="31">
        <v>0.9</v>
      </c>
      <c r="AC20" s="31">
        <v>0.9</v>
      </c>
      <c r="AD20" s="31">
        <v>0.9</v>
      </c>
      <c r="AE20" s="31">
        <v>0.9</v>
      </c>
      <c r="AF20" s="31">
        <v>0.9</v>
      </c>
      <c r="AG20" s="31">
        <v>0.9</v>
      </c>
      <c r="AH20" s="31">
        <v>0.9</v>
      </c>
    </row>
    <row r="22" spans="2:34" x14ac:dyDescent="0.25">
      <c r="L22" s="33">
        <f t="shared" ref="L22:Q22" si="0">L20/$Q$20</f>
        <v>0.44444444444444448</v>
      </c>
      <c r="M22" s="33">
        <f t="shared" si="0"/>
        <v>0.55555555555555558</v>
      </c>
      <c r="N22" s="33">
        <f t="shared" si="0"/>
        <v>0.66666666666666663</v>
      </c>
      <c r="O22" s="33">
        <f t="shared" si="0"/>
        <v>0.77777777777777768</v>
      </c>
      <c r="P22" s="33">
        <f t="shared" si="0"/>
        <v>0.88888888888888895</v>
      </c>
      <c r="Q22" s="33">
        <f t="shared" si="0"/>
        <v>1</v>
      </c>
    </row>
    <row r="23" spans="2:34" x14ac:dyDescent="0.25">
      <c r="C23" t="s">
        <v>114</v>
      </c>
    </row>
    <row r="24" spans="2:34" x14ac:dyDescent="0.25">
      <c r="C24" s="90"/>
      <c r="L24" s="33">
        <f>L22*$L$17</f>
        <v>0.27280744312613725</v>
      </c>
      <c r="M24" s="33">
        <f t="shared" ref="M24:Q24" si="1">M22*$L$17</f>
        <v>0.34100930390767153</v>
      </c>
      <c r="N24" s="33">
        <f t="shared" si="1"/>
        <v>0.40921116468920582</v>
      </c>
      <c r="O24" s="33">
        <f t="shared" si="1"/>
        <v>0.47741302547074005</v>
      </c>
      <c r="P24" s="33">
        <f t="shared" si="1"/>
        <v>0.5456148862522745</v>
      </c>
      <c r="Q24" s="33">
        <f t="shared" si="1"/>
        <v>0.61381674703380873</v>
      </c>
    </row>
    <row r="25" spans="2:34" x14ac:dyDescent="0.25">
      <c r="C25" s="90" t="s">
        <v>115</v>
      </c>
    </row>
    <row r="26" spans="2:34" x14ac:dyDescent="0.25">
      <c r="C26" s="90" t="s">
        <v>116</v>
      </c>
      <c r="H26" s="31" cm="1">
        <f t="array" ref="H26">INDEX(LINEST($M$5:$S$5, $M$3:$S$3^{1;2;3}),1)</f>
        <v>2.2222222222221559E-8</v>
      </c>
      <c r="J26" s="31">
        <f>$H$26*L3^3+$H$27*L3^2+$H$28*L3+$H$29</f>
        <v>3396.2853888482168</v>
      </c>
    </row>
    <row r="27" spans="2:34" x14ac:dyDescent="0.25">
      <c r="C27" s="90" t="s">
        <v>117</v>
      </c>
      <c r="H27" s="31" cm="1">
        <f t="array" ref="H27">INDEX(LINEST($M$5:$S$5, $M$3:$S$3^{1;2;3}),1,2)</f>
        <v>-6.7619047619045926E-4</v>
      </c>
    </row>
    <row r="28" spans="2:34" x14ac:dyDescent="0.25">
      <c r="C28" s="90" t="s">
        <v>118</v>
      </c>
      <c r="H28" s="31" cm="1">
        <f t="array" ref="H28">INDEX(LINEST($M$5:$S$5, $M$3:$S$3^{1;2;3}),1,3)</f>
        <v>7.1611111111109667</v>
      </c>
    </row>
    <row r="29" spans="2:34" x14ac:dyDescent="0.25">
      <c r="C29" s="90" t="s">
        <v>119</v>
      </c>
      <c r="H29" s="31" cm="1">
        <f t="array" ref="H29">INDEX(LINEST($M$5:$S$5, $M$3:$S$3^{1;2;3}),1,4)</f>
        <v>-22595.238095237688</v>
      </c>
    </row>
    <row r="33" spans="1:14" x14ac:dyDescent="0.25">
      <c r="E33" s="31" cm="1">
        <f t="array" ref="E33:H33">LINEST($M$5:$S$5, $M$3:$S$3^{1;2;3})</f>
        <v>2.2222222222221559E-8</v>
      </c>
      <c r="F33" s="31">
        <v>-6.7619047619045926E-4</v>
      </c>
      <c r="G33" s="31">
        <v>7.1611111111109667</v>
      </c>
      <c r="H33" s="31">
        <v>-22595.238095237688</v>
      </c>
    </row>
    <row r="34" spans="1:14" x14ac:dyDescent="0.25">
      <c r="B34" s="93" t="s">
        <v>145</v>
      </c>
    </row>
    <row r="35" spans="1:14" x14ac:dyDescent="0.25">
      <c r="A35" s="92" t="s">
        <v>143</v>
      </c>
      <c r="B35" s="92" t="s">
        <v>144</v>
      </c>
    </row>
    <row r="36" spans="1:14" x14ac:dyDescent="0.25">
      <c r="C36" s="95" t="s">
        <v>142</v>
      </c>
      <c r="D36" s="95"/>
      <c r="E36" s="95"/>
      <c r="F36" s="95"/>
      <c r="G36" s="95"/>
      <c r="H36" s="95"/>
      <c r="I36" s="95"/>
      <c r="J36" s="95"/>
      <c r="K36" s="95"/>
      <c r="L36" s="95"/>
      <c r="M36" s="95"/>
      <c r="N36" s="95"/>
    </row>
    <row r="37" spans="1:14" x14ac:dyDescent="0.25">
      <c r="C37" s="95"/>
      <c r="D37" s="95"/>
      <c r="E37" s="95"/>
      <c r="F37" s="95"/>
      <c r="G37" s="95"/>
      <c r="H37" s="95"/>
      <c r="I37" s="95"/>
      <c r="J37" s="95"/>
      <c r="K37" s="95"/>
      <c r="L37" s="95"/>
      <c r="M37" s="95"/>
      <c r="N37" s="95"/>
    </row>
    <row r="38" spans="1:14" x14ac:dyDescent="0.25">
      <c r="C38" s="95"/>
      <c r="D38" s="95"/>
      <c r="E38" s="95"/>
      <c r="F38" s="95"/>
      <c r="G38" s="95"/>
      <c r="H38" s="95"/>
      <c r="I38" s="95"/>
      <c r="J38" s="95"/>
      <c r="K38" s="95"/>
      <c r="L38" s="95"/>
      <c r="M38" s="95"/>
      <c r="N38" s="95"/>
    </row>
    <row r="39" spans="1:14" ht="14.45" customHeight="1" x14ac:dyDescent="0.25">
      <c r="C39" s="95"/>
      <c r="D39" s="95"/>
      <c r="E39" s="95"/>
      <c r="F39" s="95"/>
      <c r="G39" s="95"/>
      <c r="H39" s="95"/>
      <c r="I39" s="95"/>
      <c r="J39" s="95"/>
      <c r="K39" s="95"/>
      <c r="L39" s="95"/>
      <c r="M39" s="95"/>
      <c r="N39" s="95"/>
    </row>
    <row r="40" spans="1:14" x14ac:dyDescent="0.25">
      <c r="C40" s="95"/>
      <c r="D40" s="95"/>
      <c r="E40" s="95"/>
      <c r="F40" s="95"/>
      <c r="G40" s="95"/>
      <c r="H40" s="95"/>
      <c r="I40" s="95"/>
      <c r="J40" s="95"/>
      <c r="K40" s="95"/>
      <c r="L40" s="95"/>
      <c r="M40" s="95"/>
      <c r="N40" s="95"/>
    </row>
    <row r="41" spans="1:14" x14ac:dyDescent="0.25">
      <c r="C41" s="95"/>
      <c r="D41" s="95"/>
      <c r="E41" s="95"/>
      <c r="F41" s="95"/>
      <c r="G41" s="95"/>
      <c r="H41" s="95"/>
      <c r="I41" s="95"/>
      <c r="J41" s="95"/>
      <c r="K41" s="95"/>
      <c r="L41" s="95"/>
      <c r="M41" s="95"/>
      <c r="N41" s="95"/>
    </row>
    <row r="42" spans="1:14" x14ac:dyDescent="0.25">
      <c r="C42" s="95"/>
      <c r="D42" s="95"/>
      <c r="E42" s="95"/>
      <c r="F42" s="95"/>
      <c r="G42" s="95"/>
      <c r="H42" s="95"/>
      <c r="I42" s="95"/>
      <c r="J42" s="95"/>
      <c r="K42" s="95"/>
      <c r="L42" s="95"/>
      <c r="M42" s="95"/>
      <c r="N42" s="95"/>
    </row>
    <row r="43" spans="1:14" x14ac:dyDescent="0.25">
      <c r="C43" s="95"/>
      <c r="D43" s="95"/>
      <c r="E43" s="95"/>
      <c r="F43" s="95"/>
      <c r="G43" s="95"/>
      <c r="H43" s="95"/>
      <c r="I43" s="95"/>
      <c r="J43" s="95"/>
      <c r="K43" s="95"/>
      <c r="L43" s="95"/>
      <c r="M43" s="95"/>
      <c r="N43" s="95"/>
    </row>
    <row r="44" spans="1:14" x14ac:dyDescent="0.25">
      <c r="C44" s="95"/>
      <c r="D44" s="95"/>
      <c r="E44" s="95"/>
      <c r="F44" s="95"/>
      <c r="G44" s="95"/>
      <c r="H44" s="95"/>
      <c r="I44" s="95"/>
      <c r="J44" s="95"/>
      <c r="K44" s="95"/>
      <c r="L44" s="95"/>
      <c r="M44" s="95"/>
      <c r="N44" s="95"/>
    </row>
    <row r="45" spans="1:14" x14ac:dyDescent="0.25">
      <c r="C45" s="95"/>
      <c r="D45" s="95"/>
      <c r="E45" s="95"/>
      <c r="F45" s="95"/>
      <c r="G45" s="95"/>
      <c r="H45" s="95"/>
      <c r="I45" s="95"/>
      <c r="J45" s="95"/>
      <c r="K45" s="95"/>
      <c r="L45" s="95"/>
      <c r="M45" s="95"/>
      <c r="N45" s="95"/>
    </row>
    <row r="46" spans="1:14" x14ac:dyDescent="0.25">
      <c r="C46" s="95"/>
      <c r="D46" s="95"/>
      <c r="E46" s="95"/>
      <c r="F46" s="95"/>
      <c r="G46" s="95"/>
      <c r="H46" s="95"/>
      <c r="I46" s="95"/>
      <c r="J46" s="95"/>
      <c r="K46" s="95"/>
      <c r="L46" s="95"/>
      <c r="M46" s="95"/>
      <c r="N46" s="95"/>
    </row>
    <row r="47" spans="1:14" x14ac:dyDescent="0.25">
      <c r="C47" s="95"/>
      <c r="D47" s="95"/>
      <c r="E47" s="95"/>
      <c r="F47" s="95"/>
      <c r="G47" s="95"/>
      <c r="H47" s="95"/>
      <c r="I47" s="95"/>
      <c r="J47" s="95"/>
      <c r="K47" s="95"/>
      <c r="L47" s="95"/>
      <c r="M47" s="95"/>
      <c r="N47" s="95"/>
    </row>
    <row r="49" spans="3:3" x14ac:dyDescent="0.25">
      <c r="C49" s="90" t="s">
        <v>120</v>
      </c>
    </row>
    <row r="50" spans="3:3" x14ac:dyDescent="0.25">
      <c r="C50" s="91" t="s">
        <v>121</v>
      </c>
    </row>
    <row r="51" spans="3:3" x14ac:dyDescent="0.25">
      <c r="C51" s="91" t="s">
        <v>122</v>
      </c>
    </row>
    <row r="52" spans="3:3" x14ac:dyDescent="0.25">
      <c r="C52" s="91" t="s">
        <v>123</v>
      </c>
    </row>
    <row r="53" spans="3:3" x14ac:dyDescent="0.25">
      <c r="C53" s="90" t="s">
        <v>124</v>
      </c>
    </row>
    <row r="54" spans="3:3" x14ac:dyDescent="0.25">
      <c r="C54" s="91" t="s">
        <v>125</v>
      </c>
    </row>
    <row r="55" spans="3:3" x14ac:dyDescent="0.25">
      <c r="C55" s="91" t="s">
        <v>126</v>
      </c>
    </row>
    <row r="56" spans="3:3" x14ac:dyDescent="0.25">
      <c r="C56" s="91" t="s">
        <v>127</v>
      </c>
    </row>
    <row r="57" spans="3:3" x14ac:dyDescent="0.25">
      <c r="C57" s="90" t="s">
        <v>128</v>
      </c>
    </row>
    <row r="58" spans="3:3" x14ac:dyDescent="0.25">
      <c r="C58" s="91" t="s">
        <v>129</v>
      </c>
    </row>
    <row r="59" spans="3:3" x14ac:dyDescent="0.25">
      <c r="C59" s="91" t="s">
        <v>130</v>
      </c>
    </row>
    <row r="60" spans="3:3" x14ac:dyDescent="0.25">
      <c r="C60" s="91" t="s">
        <v>131</v>
      </c>
    </row>
    <row r="61" spans="3:3" x14ac:dyDescent="0.25">
      <c r="C61" s="91" t="s">
        <v>132</v>
      </c>
    </row>
    <row r="62" spans="3:3" x14ac:dyDescent="0.25">
      <c r="C62" s="90" t="s">
        <v>114</v>
      </c>
    </row>
    <row r="63" spans="3:3" x14ac:dyDescent="0.25">
      <c r="C63" s="91" t="s">
        <v>115</v>
      </c>
    </row>
    <row r="64" spans="3:3" x14ac:dyDescent="0.25">
      <c r="C64" s="91" t="s">
        <v>116</v>
      </c>
    </row>
    <row r="65" spans="3:3" x14ac:dyDescent="0.25">
      <c r="C65" s="91" t="s">
        <v>117</v>
      </c>
    </row>
    <row r="66" spans="3:3" x14ac:dyDescent="0.25">
      <c r="C66" s="91" t="s">
        <v>118</v>
      </c>
    </row>
    <row r="67" spans="3:3" x14ac:dyDescent="0.25">
      <c r="C67" s="91" t="s">
        <v>119</v>
      </c>
    </row>
    <row r="68" spans="3:3" x14ac:dyDescent="0.25">
      <c r="C68" s="90" t="s">
        <v>133</v>
      </c>
    </row>
    <row r="69" spans="3:3" x14ac:dyDescent="0.25">
      <c r="C69" s="90" t="s">
        <v>134</v>
      </c>
    </row>
    <row r="70" spans="3:3" x14ac:dyDescent="0.25">
      <c r="C70" s="91" t="s">
        <v>135</v>
      </c>
    </row>
    <row r="71" spans="3:3" x14ac:dyDescent="0.25">
      <c r="C71" s="91" t="s">
        <v>136</v>
      </c>
    </row>
    <row r="72" spans="3:3" x14ac:dyDescent="0.25">
      <c r="C72" s="91" t="s">
        <v>137</v>
      </c>
    </row>
    <row r="73" spans="3:3" x14ac:dyDescent="0.25">
      <c r="C73" s="90" t="s">
        <v>138</v>
      </c>
    </row>
    <row r="74" spans="3:3" x14ac:dyDescent="0.25">
      <c r="C74" s="91" t="s">
        <v>139</v>
      </c>
    </row>
    <row r="75" spans="3:3" x14ac:dyDescent="0.25">
      <c r="C75" s="91" t="s">
        <v>140</v>
      </c>
    </row>
    <row r="76" spans="3:3" x14ac:dyDescent="0.25">
      <c r="C76" s="91" t="s">
        <v>141</v>
      </c>
    </row>
  </sheetData>
  <mergeCells count="3">
    <mergeCell ref="H3:K3"/>
    <mergeCell ref="I14:K14"/>
    <mergeCell ref="C36:N47"/>
  </mergeCells>
  <hyperlinks>
    <hyperlink ref="B34" r:id="rId1" xr:uid="{164FE32E-1306-4BBD-B0E8-9769320FFBC4}"/>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6"/>
  <dimension ref="A1:AB41"/>
  <sheetViews>
    <sheetView zoomScale="70" zoomScaleNormal="70" workbookViewId="0">
      <selection activeCell="T4" sqref="T4"/>
    </sheetView>
  </sheetViews>
  <sheetFormatPr defaultRowHeight="12.75" x14ac:dyDescent="0.2"/>
  <cols>
    <col min="5" max="5" width="10.7109375" bestFit="1" customWidth="1"/>
  </cols>
  <sheetData>
    <row r="1" spans="1:20" ht="18" x14ac:dyDescent="0.25">
      <c r="A1" s="79"/>
      <c r="C1" s="79" t="s">
        <v>103</v>
      </c>
    </row>
    <row r="2" spans="1:20" ht="18" x14ac:dyDescent="0.25">
      <c r="A2" s="79"/>
      <c r="E2" s="80"/>
    </row>
    <row r="3" spans="1:20" ht="18" x14ac:dyDescent="0.25">
      <c r="A3" s="81"/>
      <c r="E3" s="80"/>
    </row>
    <row r="4" spans="1:20" x14ac:dyDescent="0.2">
      <c r="A4" s="82" t="s">
        <v>104</v>
      </c>
      <c r="B4" s="83" t="s">
        <v>105</v>
      </c>
      <c r="T4" s="35" t="s">
        <v>146</v>
      </c>
    </row>
    <row r="5" spans="1:20" ht="15" x14ac:dyDescent="0.25">
      <c r="A5" s="86">
        <v>7000</v>
      </c>
      <c r="B5" s="87">
        <v>2000</v>
      </c>
    </row>
    <row r="6" spans="1:20" ht="15" x14ac:dyDescent="0.25">
      <c r="A6" s="86">
        <v>7500</v>
      </c>
      <c r="B6" s="87">
        <v>2500</v>
      </c>
      <c r="T6" t="s">
        <v>147</v>
      </c>
    </row>
    <row r="7" spans="1:20" ht="15" x14ac:dyDescent="0.25">
      <c r="A7" s="86">
        <v>8000</v>
      </c>
      <c r="B7" s="87">
        <v>2800</v>
      </c>
      <c r="T7" s="60" t="s">
        <v>148</v>
      </c>
    </row>
    <row r="8" spans="1:20" ht="15" x14ac:dyDescent="0.25">
      <c r="A8" s="86">
        <v>8500</v>
      </c>
      <c r="B8" s="87">
        <v>3000</v>
      </c>
    </row>
    <row r="9" spans="1:20" ht="15" x14ac:dyDescent="0.25">
      <c r="A9" s="86">
        <v>9000</v>
      </c>
      <c r="B9" s="87">
        <v>3300</v>
      </c>
      <c r="T9" s="60" t="s">
        <v>149</v>
      </c>
    </row>
    <row r="10" spans="1:20" ht="15" x14ac:dyDescent="0.25">
      <c r="A10" s="86">
        <v>9500</v>
      </c>
      <c r="B10" s="87">
        <v>3500</v>
      </c>
      <c r="T10" t="s">
        <v>150</v>
      </c>
    </row>
    <row r="11" spans="1:20" ht="15" x14ac:dyDescent="0.25">
      <c r="A11" s="86">
        <v>10000</v>
      </c>
      <c r="B11" s="87">
        <v>3600</v>
      </c>
    </row>
    <row r="12" spans="1:20" x14ac:dyDescent="0.2">
      <c r="A12" s="84"/>
      <c r="B12" s="85"/>
    </row>
    <row r="13" spans="1:20" x14ac:dyDescent="0.2">
      <c r="A13" s="84"/>
      <c r="B13" s="85"/>
    </row>
    <row r="14" spans="1:20" x14ac:dyDescent="0.2">
      <c r="A14" s="84"/>
      <c r="B14" s="85"/>
    </row>
    <row r="15" spans="1:20" x14ac:dyDescent="0.2">
      <c r="A15" s="84"/>
      <c r="B15" s="85"/>
      <c r="T15" t="s">
        <v>151</v>
      </c>
    </row>
    <row r="16" spans="1:20" x14ac:dyDescent="0.2">
      <c r="A16" s="84"/>
      <c r="B16" s="85"/>
      <c r="T16" t="s">
        <v>152</v>
      </c>
    </row>
    <row r="17" spans="1:2" x14ac:dyDescent="0.2">
      <c r="A17" s="84"/>
      <c r="B17" s="85"/>
    </row>
    <row r="18" spans="1:2" x14ac:dyDescent="0.2">
      <c r="A18" s="84"/>
      <c r="B18" s="85"/>
    </row>
    <row r="19" spans="1:2" x14ac:dyDescent="0.2">
      <c r="A19" s="84"/>
      <c r="B19" s="85"/>
    </row>
    <row r="20" spans="1:2" x14ac:dyDescent="0.2">
      <c r="A20" s="84"/>
      <c r="B20" s="85"/>
    </row>
    <row r="21" spans="1:2" x14ac:dyDescent="0.2">
      <c r="A21" s="84"/>
      <c r="B21" s="85"/>
    </row>
    <row r="22" spans="1:2" x14ac:dyDescent="0.2">
      <c r="A22" s="84"/>
      <c r="B22" s="85"/>
    </row>
    <row r="23" spans="1:2" x14ac:dyDescent="0.2">
      <c r="A23" s="84"/>
      <c r="B23" s="85"/>
    </row>
    <row r="24" spans="1:2" x14ac:dyDescent="0.2">
      <c r="A24" s="84"/>
      <c r="B24" s="85"/>
    </row>
    <row r="25" spans="1:2" x14ac:dyDescent="0.2">
      <c r="A25" s="84"/>
      <c r="B25" s="85"/>
    </row>
    <row r="26" spans="1:2" x14ac:dyDescent="0.2">
      <c r="A26" s="84"/>
      <c r="B26" s="85"/>
    </row>
    <row r="27" spans="1:2" x14ac:dyDescent="0.2">
      <c r="A27" s="84"/>
      <c r="B27" s="85"/>
    </row>
    <row r="28" spans="1:2" x14ac:dyDescent="0.2">
      <c r="A28" s="84"/>
      <c r="B28" s="85"/>
    </row>
    <row r="29" spans="1:2" x14ac:dyDescent="0.2">
      <c r="A29" s="84"/>
      <c r="B29" s="85"/>
    </row>
    <row r="30" spans="1:2" x14ac:dyDescent="0.2">
      <c r="A30" s="84"/>
      <c r="B30" s="85"/>
    </row>
    <row r="31" spans="1:2" x14ac:dyDescent="0.2">
      <c r="A31" s="84"/>
      <c r="B31" s="85"/>
    </row>
    <row r="32" spans="1:2" x14ac:dyDescent="0.2">
      <c r="A32" s="84"/>
      <c r="B32" s="85"/>
    </row>
    <row r="33" spans="1:28" x14ac:dyDescent="0.2">
      <c r="A33" s="84"/>
      <c r="B33" s="85"/>
    </row>
    <row r="34" spans="1:28" x14ac:dyDescent="0.2">
      <c r="A34" s="84"/>
      <c r="B34" s="85"/>
    </row>
    <row r="35" spans="1:28" x14ac:dyDescent="0.2">
      <c r="A35" s="84"/>
      <c r="B35" s="85"/>
    </row>
    <row r="36" spans="1:28" x14ac:dyDescent="0.2">
      <c r="A36" s="84"/>
      <c r="B36" s="85"/>
    </row>
    <row r="37" spans="1:28" x14ac:dyDescent="0.2">
      <c r="A37" s="84"/>
      <c r="B37" s="85"/>
    </row>
    <row r="38" spans="1:28" x14ac:dyDescent="0.2">
      <c r="A38" s="84"/>
      <c r="B38" s="85"/>
    </row>
    <row r="41" spans="1:28" x14ac:dyDescent="0.2">
      <c r="AB41" s="93"/>
    </row>
  </sheetData>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W25"/>
  <sheetViews>
    <sheetView workbookViewId="0">
      <selection activeCell="K16" sqref="K16"/>
    </sheetView>
  </sheetViews>
  <sheetFormatPr defaultRowHeight="12.75" x14ac:dyDescent="0.2"/>
  <cols>
    <col min="3" max="3" width="17" bestFit="1" customWidth="1"/>
    <col min="7" max="7" width="17" customWidth="1"/>
    <col min="11" max="11" width="16" customWidth="1"/>
  </cols>
  <sheetData>
    <row r="1" spans="1:23" x14ac:dyDescent="0.2">
      <c r="A1" t="s">
        <v>86</v>
      </c>
    </row>
    <row r="2" spans="1:23" x14ac:dyDescent="0.2">
      <c r="C2" s="61">
        <v>2.1243977222952255E-2</v>
      </c>
      <c r="E2" s="1" t="s">
        <v>89</v>
      </c>
      <c r="F2" s="70"/>
      <c r="G2" s="62"/>
    </row>
    <row r="3" spans="1:23" x14ac:dyDescent="0.2">
      <c r="A3" t="s">
        <v>87</v>
      </c>
      <c r="E3" s="78">
        <v>0.4</v>
      </c>
      <c r="F3" s="69" t="s">
        <v>90</v>
      </c>
      <c r="G3" s="65">
        <f>E3*C4</f>
        <v>30440000</v>
      </c>
    </row>
    <row r="4" spans="1:23" x14ac:dyDescent="0.2">
      <c r="C4" s="21">
        <f>'Przepływy i NPV'!B37</f>
        <v>76100000</v>
      </c>
      <c r="E4" s="1" t="s">
        <v>88</v>
      </c>
      <c r="G4" s="71"/>
      <c r="H4" s="68" t="s">
        <v>91</v>
      </c>
      <c r="I4" s="67"/>
      <c r="J4" s="66" t="s">
        <v>92</v>
      </c>
      <c r="K4" s="67"/>
    </row>
    <row r="5" spans="1:23" x14ac:dyDescent="0.2">
      <c r="E5" s="1">
        <f>1-E3</f>
        <v>0.6</v>
      </c>
      <c r="F5" s="69" t="s">
        <v>90</v>
      </c>
      <c r="G5" s="65">
        <f>E5*C4</f>
        <v>45660000</v>
      </c>
      <c r="H5" s="69"/>
      <c r="I5" s="64">
        <v>10</v>
      </c>
      <c r="J5" s="63"/>
      <c r="K5" s="65">
        <f>G5/I5</f>
        <v>4566000</v>
      </c>
    </row>
    <row r="6" spans="1:23" x14ac:dyDescent="0.2">
      <c r="A6" s="35" t="s">
        <v>93</v>
      </c>
      <c r="B6" s="35"/>
      <c r="C6" s="35"/>
    </row>
    <row r="7" spans="1:23" x14ac:dyDescent="0.2">
      <c r="C7" s="88">
        <v>0.2</v>
      </c>
      <c r="I7" s="96" t="s">
        <v>94</v>
      </c>
      <c r="J7" s="96"/>
      <c r="K7" s="96"/>
      <c r="L7" s="1">
        <f>'Przepływy i NPV'!C8</f>
        <v>26500000</v>
      </c>
      <c r="M7" s="1">
        <f>'Przepływy i NPV'!D8</f>
        <v>37600000</v>
      </c>
      <c r="N7" s="1">
        <f>'Przepływy i NPV'!E8</f>
        <v>12000000</v>
      </c>
    </row>
    <row r="8" spans="1:23" x14ac:dyDescent="0.2">
      <c r="I8" s="96" t="s">
        <v>95</v>
      </c>
      <c r="J8" s="96"/>
      <c r="K8" s="96"/>
      <c r="L8" s="1">
        <f>$E$5*L7</f>
        <v>15900000</v>
      </c>
      <c r="M8" s="1">
        <f t="shared" ref="M8:N8" si="0">$E$5*M7</f>
        <v>22560000</v>
      </c>
      <c r="N8" s="1">
        <f t="shared" si="0"/>
        <v>7200000</v>
      </c>
    </row>
    <row r="9" spans="1:23" x14ac:dyDescent="0.2">
      <c r="E9" t="s">
        <v>23</v>
      </c>
      <c r="F9" t="s">
        <v>25</v>
      </c>
      <c r="G9" t="s">
        <v>24</v>
      </c>
    </row>
    <row r="10" spans="1:23" x14ac:dyDescent="0.2">
      <c r="D10">
        <v>1</v>
      </c>
      <c r="F10" s="22">
        <f>E5*'Przepływy i NPV'!C8</f>
        <v>15900000</v>
      </c>
      <c r="G10">
        <f>$C$7*F10</f>
        <v>3180000</v>
      </c>
      <c r="I10" s="27">
        <f>G10</f>
        <v>3180000</v>
      </c>
      <c r="K10">
        <f>I10</f>
        <v>3180000</v>
      </c>
      <c r="L10">
        <f>I11</f>
        <v>7692000</v>
      </c>
      <c r="M10">
        <f>I12</f>
        <v>9132000</v>
      </c>
      <c r="N10">
        <f>I13</f>
        <v>9132000</v>
      </c>
      <c r="O10">
        <f>I14</f>
        <v>8218800</v>
      </c>
      <c r="P10">
        <f>I15</f>
        <v>7305600</v>
      </c>
      <c r="Q10">
        <f>I16</f>
        <v>6392400</v>
      </c>
      <c r="R10">
        <f>I17</f>
        <v>5479200</v>
      </c>
      <c r="S10">
        <f>I18</f>
        <v>4566000</v>
      </c>
      <c r="T10">
        <f>I19</f>
        <v>3652800</v>
      </c>
      <c r="U10">
        <f>I20</f>
        <v>2739600</v>
      </c>
      <c r="V10">
        <f>I21</f>
        <v>1826400</v>
      </c>
      <c r="W10">
        <f>I22</f>
        <v>913200</v>
      </c>
    </row>
    <row r="11" spans="1:23" x14ac:dyDescent="0.2">
      <c r="C11" s="72">
        <f>F10+F11+F12</f>
        <v>45660000</v>
      </c>
      <c r="D11">
        <v>2</v>
      </c>
      <c r="F11" s="22">
        <f>E5*'Przepływy i NPV'!D8</f>
        <v>22560000</v>
      </c>
      <c r="G11">
        <f>$C$7*(F10+F11)</f>
        <v>7692000</v>
      </c>
      <c r="I11" s="27">
        <f t="shared" ref="I11:I22" si="1">G11</f>
        <v>7692000</v>
      </c>
    </row>
    <row r="12" spans="1:23" x14ac:dyDescent="0.2">
      <c r="D12">
        <v>3</v>
      </c>
      <c r="F12" s="22">
        <f>E5*'Przepływy i NPV'!E8</f>
        <v>7200000</v>
      </c>
      <c r="G12">
        <f>$C$7*(F10+F11+F12)</f>
        <v>9132000</v>
      </c>
      <c r="I12" s="27">
        <f t="shared" si="1"/>
        <v>9132000</v>
      </c>
    </row>
    <row r="13" spans="1:23" x14ac:dyDescent="0.2">
      <c r="D13">
        <v>4</v>
      </c>
      <c r="E13">
        <f>K5</f>
        <v>4566000</v>
      </c>
      <c r="F13">
        <f>G5</f>
        <v>45660000</v>
      </c>
      <c r="G13">
        <f t="shared" ref="G13:G22" si="2">$C$7*F13</f>
        <v>9132000</v>
      </c>
      <c r="I13" s="27">
        <f t="shared" si="1"/>
        <v>9132000</v>
      </c>
    </row>
    <row r="14" spans="1:23" x14ac:dyDescent="0.2">
      <c r="D14">
        <v>5</v>
      </c>
      <c r="E14">
        <f>E13</f>
        <v>4566000</v>
      </c>
      <c r="F14">
        <f>F13-E13</f>
        <v>41094000</v>
      </c>
      <c r="G14">
        <f t="shared" si="2"/>
        <v>8218800</v>
      </c>
      <c r="I14" s="27">
        <f t="shared" si="1"/>
        <v>8218800</v>
      </c>
    </row>
    <row r="15" spans="1:23" x14ac:dyDescent="0.2">
      <c r="D15">
        <v>6</v>
      </c>
      <c r="E15">
        <f t="shared" ref="E15:E22" si="3">E14</f>
        <v>4566000</v>
      </c>
      <c r="F15">
        <f t="shared" ref="F15:F22" si="4">F14-E14</f>
        <v>36528000</v>
      </c>
      <c r="G15">
        <f t="shared" si="2"/>
        <v>7305600</v>
      </c>
      <c r="I15" s="27">
        <f t="shared" si="1"/>
        <v>7305600</v>
      </c>
    </row>
    <row r="16" spans="1:23" x14ac:dyDescent="0.2">
      <c r="D16">
        <v>7</v>
      </c>
      <c r="E16">
        <f t="shared" si="3"/>
        <v>4566000</v>
      </c>
      <c r="F16">
        <f t="shared" si="4"/>
        <v>31962000</v>
      </c>
      <c r="G16">
        <f t="shared" si="2"/>
        <v>6392400</v>
      </c>
      <c r="I16" s="27">
        <f t="shared" si="1"/>
        <v>6392400</v>
      </c>
    </row>
    <row r="17" spans="4:9" x14ac:dyDescent="0.2">
      <c r="D17">
        <v>8</v>
      </c>
      <c r="E17">
        <f t="shared" si="3"/>
        <v>4566000</v>
      </c>
      <c r="F17">
        <f t="shared" si="4"/>
        <v>27396000</v>
      </c>
      <c r="G17">
        <f t="shared" si="2"/>
        <v>5479200</v>
      </c>
      <c r="I17" s="27">
        <f t="shared" si="1"/>
        <v>5479200</v>
      </c>
    </row>
    <row r="18" spans="4:9" x14ac:dyDescent="0.2">
      <c r="D18">
        <v>9</v>
      </c>
      <c r="E18">
        <f t="shared" si="3"/>
        <v>4566000</v>
      </c>
      <c r="F18">
        <f t="shared" si="4"/>
        <v>22830000</v>
      </c>
      <c r="G18">
        <f t="shared" si="2"/>
        <v>4566000</v>
      </c>
      <c r="I18" s="27">
        <f t="shared" si="1"/>
        <v>4566000</v>
      </c>
    </row>
    <row r="19" spans="4:9" x14ac:dyDescent="0.2">
      <c r="D19">
        <v>10</v>
      </c>
      <c r="E19">
        <f t="shared" si="3"/>
        <v>4566000</v>
      </c>
      <c r="F19">
        <f t="shared" si="4"/>
        <v>18264000</v>
      </c>
      <c r="G19">
        <f t="shared" si="2"/>
        <v>3652800</v>
      </c>
      <c r="I19" s="27">
        <f t="shared" si="1"/>
        <v>3652800</v>
      </c>
    </row>
    <row r="20" spans="4:9" x14ac:dyDescent="0.2">
      <c r="D20">
        <v>11</v>
      </c>
      <c r="E20">
        <f t="shared" si="3"/>
        <v>4566000</v>
      </c>
      <c r="F20">
        <f t="shared" si="4"/>
        <v>13698000</v>
      </c>
      <c r="G20">
        <f t="shared" si="2"/>
        <v>2739600</v>
      </c>
      <c r="I20" s="27">
        <f t="shared" si="1"/>
        <v>2739600</v>
      </c>
    </row>
    <row r="21" spans="4:9" x14ac:dyDescent="0.2">
      <c r="D21">
        <v>12</v>
      </c>
      <c r="E21">
        <f t="shared" si="3"/>
        <v>4566000</v>
      </c>
      <c r="F21">
        <f t="shared" si="4"/>
        <v>9132000</v>
      </c>
      <c r="G21">
        <f t="shared" si="2"/>
        <v>1826400</v>
      </c>
      <c r="I21" s="27">
        <f t="shared" si="1"/>
        <v>1826400</v>
      </c>
    </row>
    <row r="22" spans="4:9" x14ac:dyDescent="0.2">
      <c r="D22">
        <v>13</v>
      </c>
      <c r="E22">
        <f t="shared" si="3"/>
        <v>4566000</v>
      </c>
      <c r="F22">
        <f t="shared" si="4"/>
        <v>4566000</v>
      </c>
      <c r="G22">
        <f t="shared" si="2"/>
        <v>913200</v>
      </c>
      <c r="I22" s="27">
        <f t="shared" si="1"/>
        <v>913200</v>
      </c>
    </row>
    <row r="24" spans="4:9" x14ac:dyDescent="0.2">
      <c r="E24">
        <f>SUM(E13:E22)</f>
        <v>45660000</v>
      </c>
    </row>
    <row r="25" spans="4:9" x14ac:dyDescent="0.2">
      <c r="E25" t="s">
        <v>26</v>
      </c>
    </row>
  </sheetData>
  <mergeCells count="2">
    <mergeCell ref="I7:K7"/>
    <mergeCell ref="I8:K8"/>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B2:AA54"/>
  <sheetViews>
    <sheetView topLeftCell="A31" workbookViewId="0">
      <selection activeCell="E57" sqref="E57"/>
    </sheetView>
  </sheetViews>
  <sheetFormatPr defaultRowHeight="12.75" x14ac:dyDescent="0.2"/>
  <cols>
    <col min="1" max="1" width="1.7109375" customWidth="1"/>
    <col min="2" max="2" width="40.7109375" customWidth="1"/>
    <col min="3" max="5" width="23.7109375" customWidth="1"/>
    <col min="6" max="6" width="15.42578125" customWidth="1"/>
    <col min="7" max="16" width="15.42578125" bestFit="1" customWidth="1"/>
    <col min="17" max="17" width="14.42578125" customWidth="1"/>
    <col min="18" max="18" width="14.85546875" bestFit="1" customWidth="1"/>
    <col min="19" max="19" width="14.42578125" customWidth="1"/>
    <col min="20" max="20" width="14.85546875" bestFit="1" customWidth="1"/>
    <col min="21" max="22" width="15.28515625" customWidth="1"/>
    <col min="23" max="23" width="15.42578125" customWidth="1"/>
    <col min="24" max="24" width="14.85546875" bestFit="1" customWidth="1"/>
    <col min="25" max="25" width="14.42578125" customWidth="1"/>
    <col min="26" max="27" width="14.5703125" customWidth="1"/>
  </cols>
  <sheetData>
    <row r="2" spans="2:27" x14ac:dyDescent="0.2">
      <c r="F2" t="s">
        <v>22</v>
      </c>
    </row>
    <row r="4" spans="2:27" ht="12.75" customHeight="1" x14ac:dyDescent="0.2">
      <c r="C4" s="97" t="s">
        <v>97</v>
      </c>
      <c r="D4" s="97" t="s">
        <v>98</v>
      </c>
      <c r="E4" s="97" t="s">
        <v>99</v>
      </c>
      <c r="F4" s="74">
        <v>1</v>
      </c>
      <c r="G4" s="74">
        <v>2</v>
      </c>
      <c r="H4" s="74">
        <v>3</v>
      </c>
      <c r="I4" s="74">
        <v>4</v>
      </c>
      <c r="J4" s="74">
        <v>5</v>
      </c>
      <c r="K4" s="74">
        <v>6</v>
      </c>
      <c r="L4" s="74">
        <v>7</v>
      </c>
      <c r="M4" s="74">
        <v>8</v>
      </c>
      <c r="N4" s="74">
        <v>9</v>
      </c>
      <c r="O4" s="74">
        <v>10</v>
      </c>
      <c r="P4" s="74">
        <v>11</v>
      </c>
      <c r="Q4" s="74">
        <v>12</v>
      </c>
      <c r="R4" s="74">
        <v>13</v>
      </c>
      <c r="S4" s="74">
        <v>14</v>
      </c>
      <c r="T4" s="74">
        <v>15</v>
      </c>
      <c r="U4" s="74">
        <v>16</v>
      </c>
      <c r="V4" s="74">
        <v>17</v>
      </c>
      <c r="W4" s="74">
        <v>18</v>
      </c>
      <c r="X4" s="74">
        <v>19</v>
      </c>
      <c r="Y4" s="74">
        <v>20</v>
      </c>
      <c r="Z4" s="74">
        <v>21</v>
      </c>
      <c r="AA4" s="74">
        <v>22</v>
      </c>
    </row>
    <row r="5" spans="2:27" ht="42" customHeight="1" x14ac:dyDescent="0.2">
      <c r="C5" s="98"/>
      <c r="D5" s="98"/>
      <c r="E5" s="98"/>
      <c r="F5" s="75">
        <v>2025</v>
      </c>
      <c r="G5" s="75">
        <v>2026</v>
      </c>
      <c r="H5" s="75">
        <v>2027</v>
      </c>
      <c r="I5" s="75">
        <f>H5+1</f>
        <v>2028</v>
      </c>
      <c r="J5" s="75">
        <f t="shared" ref="J5:AA5" si="0">I5+1</f>
        <v>2029</v>
      </c>
      <c r="K5" s="75">
        <f t="shared" si="0"/>
        <v>2030</v>
      </c>
      <c r="L5" s="75">
        <f t="shared" si="0"/>
        <v>2031</v>
      </c>
      <c r="M5" s="75">
        <f t="shared" si="0"/>
        <v>2032</v>
      </c>
      <c r="N5" s="75">
        <f t="shared" si="0"/>
        <v>2033</v>
      </c>
      <c r="O5" s="75">
        <f t="shared" si="0"/>
        <v>2034</v>
      </c>
      <c r="P5" s="75">
        <f t="shared" si="0"/>
        <v>2035</v>
      </c>
      <c r="Q5" s="75">
        <f t="shared" si="0"/>
        <v>2036</v>
      </c>
      <c r="R5" s="75">
        <f t="shared" si="0"/>
        <v>2037</v>
      </c>
      <c r="S5" s="75">
        <f t="shared" si="0"/>
        <v>2038</v>
      </c>
      <c r="T5" s="75">
        <f t="shared" si="0"/>
        <v>2039</v>
      </c>
      <c r="U5" s="75">
        <f t="shared" si="0"/>
        <v>2040</v>
      </c>
      <c r="V5" s="75">
        <f t="shared" si="0"/>
        <v>2041</v>
      </c>
      <c r="W5" s="75">
        <f t="shared" si="0"/>
        <v>2042</v>
      </c>
      <c r="X5" s="75">
        <f t="shared" si="0"/>
        <v>2043</v>
      </c>
      <c r="Y5" s="75">
        <f t="shared" si="0"/>
        <v>2044</v>
      </c>
      <c r="Z5" s="75">
        <f t="shared" si="0"/>
        <v>2045</v>
      </c>
      <c r="AA5" s="75">
        <f t="shared" si="0"/>
        <v>2046</v>
      </c>
    </row>
    <row r="6" spans="2:27" x14ac:dyDescent="0.2">
      <c r="B6" s="18" t="s">
        <v>31</v>
      </c>
      <c r="C6" s="19">
        <f>Finansowanie!L8</f>
        <v>15900000</v>
      </c>
      <c r="D6" s="19">
        <f>Finansowanie!M8</f>
        <v>22560000</v>
      </c>
      <c r="E6" s="20">
        <f>$C$35*$B$35*E7+Finansowanie!N8</f>
        <v>14809358.286634672</v>
      </c>
      <c r="F6" s="20">
        <f t="shared" ref="F6:Z6" si="1">$C$35*$B$35*F7</f>
        <v>9511697.8582933396</v>
      </c>
      <c r="G6" s="20">
        <f t="shared" si="1"/>
        <v>11414037.429952007</v>
      </c>
      <c r="H6" s="20">
        <f t="shared" si="1"/>
        <v>13316377.001610674</v>
      </c>
      <c r="I6" s="20">
        <f t="shared" si="1"/>
        <v>15218716.573269345</v>
      </c>
      <c r="J6" s="20">
        <f t="shared" si="1"/>
        <v>17121056.144928012</v>
      </c>
      <c r="K6" s="20">
        <f t="shared" si="1"/>
        <v>17121056.144928012</v>
      </c>
      <c r="L6" s="20">
        <f t="shared" si="1"/>
        <v>17121056.144928012</v>
      </c>
      <c r="M6" s="20">
        <f t="shared" si="1"/>
        <v>17121056.144928012</v>
      </c>
      <c r="N6" s="20">
        <f t="shared" si="1"/>
        <v>17121056.144928012</v>
      </c>
      <c r="O6" s="20">
        <f t="shared" si="1"/>
        <v>17121056.144928012</v>
      </c>
      <c r="P6" s="20">
        <f t="shared" si="1"/>
        <v>17121056.144928012</v>
      </c>
      <c r="Q6" s="20">
        <f t="shared" si="1"/>
        <v>17121056.144928012</v>
      </c>
      <c r="R6" s="20">
        <f t="shared" si="1"/>
        <v>17121056.144928012</v>
      </c>
      <c r="S6" s="20">
        <f t="shared" si="1"/>
        <v>17121056.144928012</v>
      </c>
      <c r="T6" s="20">
        <f t="shared" si="1"/>
        <v>17121056.144928012</v>
      </c>
      <c r="U6" s="20">
        <f t="shared" si="1"/>
        <v>17121056.144928012</v>
      </c>
      <c r="V6" s="20">
        <f t="shared" si="1"/>
        <v>17121056.144928012</v>
      </c>
      <c r="W6" s="20">
        <f t="shared" si="1"/>
        <v>17121056.144928012</v>
      </c>
      <c r="X6" s="20">
        <f t="shared" si="1"/>
        <v>17121056.144928012</v>
      </c>
      <c r="Y6" s="20">
        <f t="shared" si="1"/>
        <v>17121056.144928012</v>
      </c>
      <c r="Z6" s="20">
        <f t="shared" si="1"/>
        <v>17121056.144928012</v>
      </c>
      <c r="AA6" s="20">
        <f>$C$35*$B$35*AA7+C9+0.4*B37</f>
        <v>50961056.144928008</v>
      </c>
    </row>
    <row r="7" spans="2:27" x14ac:dyDescent="0.2">
      <c r="B7" s="18" t="s">
        <v>16</v>
      </c>
      <c r="C7" s="19">
        <v>0</v>
      </c>
      <c r="D7" s="19">
        <v>0</v>
      </c>
      <c r="E7" s="20">
        <f>'Zależności wskaźników'!L22*'Zależności wskaźników'!$L$17</f>
        <v>0.27280744312613725</v>
      </c>
      <c r="F7" s="20">
        <f>'Zależności wskaźników'!M22*'Zależności wskaźników'!$L$17</f>
        <v>0.34100930390767153</v>
      </c>
      <c r="G7" s="20">
        <f>'Zależności wskaźników'!N22*'Zależności wskaźników'!$L$17</f>
        <v>0.40921116468920582</v>
      </c>
      <c r="H7" s="20">
        <f>'Zależności wskaźników'!O22*'Zależności wskaźników'!$L$17</f>
        <v>0.47741302547074005</v>
      </c>
      <c r="I7" s="20">
        <f>'Zależności wskaźników'!P22*'Zależności wskaźników'!$L$17</f>
        <v>0.5456148862522745</v>
      </c>
      <c r="J7" s="20">
        <f>'Zależności wskaźników'!L17</f>
        <v>0.61381674703380873</v>
      </c>
      <c r="K7" s="20">
        <f>J7</f>
        <v>0.61381674703380873</v>
      </c>
      <c r="L7" s="20">
        <f t="shared" ref="L7:AA7" si="2">K7</f>
        <v>0.61381674703380873</v>
      </c>
      <c r="M7" s="20">
        <f t="shared" si="2"/>
        <v>0.61381674703380873</v>
      </c>
      <c r="N7" s="20">
        <f t="shared" si="2"/>
        <v>0.61381674703380873</v>
      </c>
      <c r="O7" s="20">
        <f t="shared" si="2"/>
        <v>0.61381674703380873</v>
      </c>
      <c r="P7" s="20">
        <f t="shared" si="2"/>
        <v>0.61381674703380873</v>
      </c>
      <c r="Q7" s="20">
        <f t="shared" si="2"/>
        <v>0.61381674703380873</v>
      </c>
      <c r="R7" s="20">
        <f t="shared" si="2"/>
        <v>0.61381674703380873</v>
      </c>
      <c r="S7" s="20">
        <f t="shared" si="2"/>
        <v>0.61381674703380873</v>
      </c>
      <c r="T7" s="20">
        <f t="shared" si="2"/>
        <v>0.61381674703380873</v>
      </c>
      <c r="U7" s="20">
        <f t="shared" si="2"/>
        <v>0.61381674703380873</v>
      </c>
      <c r="V7" s="20">
        <f t="shared" si="2"/>
        <v>0.61381674703380873</v>
      </c>
      <c r="W7" s="20">
        <f t="shared" si="2"/>
        <v>0.61381674703380873</v>
      </c>
      <c r="X7" s="20">
        <f t="shared" si="2"/>
        <v>0.61381674703380873</v>
      </c>
      <c r="Y7" s="20">
        <f t="shared" si="2"/>
        <v>0.61381674703380873</v>
      </c>
      <c r="Z7" s="20">
        <f t="shared" si="2"/>
        <v>0.61381674703380873</v>
      </c>
      <c r="AA7" s="20">
        <f t="shared" si="2"/>
        <v>0.61381674703380873</v>
      </c>
    </row>
    <row r="8" spans="2:27" x14ac:dyDescent="0.2">
      <c r="B8" s="1" t="s">
        <v>15</v>
      </c>
      <c r="C8" s="23">
        <v>26500000</v>
      </c>
      <c r="D8" s="2">
        <f>C41*B49</f>
        <v>37600000</v>
      </c>
      <c r="E8" s="2">
        <f>C42*B49</f>
        <v>12000000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row>
    <row r="9" spans="2:27" x14ac:dyDescent="0.2">
      <c r="B9" s="1" t="s">
        <v>10</v>
      </c>
      <c r="C9" s="23">
        <v>3400000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row>
    <row r="10" spans="2:27" x14ac:dyDescent="0.2">
      <c r="B10" s="1" t="s">
        <v>11</v>
      </c>
      <c r="C10" s="23">
        <f>Finansowanie!C2*Finansowanie!K5</f>
        <v>97000</v>
      </c>
      <c r="D10" s="2">
        <v>0</v>
      </c>
      <c r="E10" s="2">
        <v>0</v>
      </c>
      <c r="F10" s="2">
        <v>0</v>
      </c>
      <c r="G10" s="2">
        <v>0</v>
      </c>
      <c r="H10" s="2">
        <v>0</v>
      </c>
      <c r="I10" s="2">
        <v>0</v>
      </c>
      <c r="J10" s="2">
        <v>0</v>
      </c>
      <c r="K10" s="2">
        <v>0</v>
      </c>
      <c r="L10" s="2">
        <v>0</v>
      </c>
      <c r="M10" s="2">
        <v>0</v>
      </c>
      <c r="N10" s="2">
        <v>0</v>
      </c>
      <c r="O10" s="2">
        <v>0</v>
      </c>
      <c r="P10" s="2">
        <v>0</v>
      </c>
      <c r="Q10" s="2">
        <v>0</v>
      </c>
      <c r="R10" s="2">
        <v>0</v>
      </c>
      <c r="S10" s="2">
        <v>0</v>
      </c>
      <c r="T10" s="2">
        <v>0</v>
      </c>
      <c r="U10" s="2">
        <v>0</v>
      </c>
      <c r="V10" s="2">
        <v>0</v>
      </c>
      <c r="W10" s="2">
        <v>0</v>
      </c>
      <c r="X10" s="2">
        <v>0</v>
      </c>
      <c r="Y10" s="2">
        <v>0</v>
      </c>
      <c r="Z10" s="2">
        <v>0</v>
      </c>
      <c r="AA10" s="2">
        <v>0</v>
      </c>
    </row>
    <row r="11" spans="2:27" x14ac:dyDescent="0.2">
      <c r="B11" s="16" t="s">
        <v>0</v>
      </c>
      <c r="C11" s="17">
        <v>0</v>
      </c>
      <c r="D11" s="17">
        <v>0</v>
      </c>
      <c r="E11" s="17">
        <v>0</v>
      </c>
      <c r="F11" s="17">
        <f>0.025*B37</f>
        <v>1902500</v>
      </c>
      <c r="G11" s="17">
        <f>F11</f>
        <v>1902500</v>
      </c>
      <c r="H11" s="17">
        <f t="shared" ref="H11:AA11" si="3">G11</f>
        <v>1902500</v>
      </c>
      <c r="I11" s="17">
        <f t="shared" si="3"/>
        <v>1902500</v>
      </c>
      <c r="J11" s="17">
        <f t="shared" si="3"/>
        <v>1902500</v>
      </c>
      <c r="K11" s="17">
        <f t="shared" si="3"/>
        <v>1902500</v>
      </c>
      <c r="L11" s="17">
        <f t="shared" si="3"/>
        <v>1902500</v>
      </c>
      <c r="M11" s="17">
        <f t="shared" si="3"/>
        <v>1902500</v>
      </c>
      <c r="N11" s="17">
        <f t="shared" si="3"/>
        <v>1902500</v>
      </c>
      <c r="O11" s="17">
        <f t="shared" si="3"/>
        <v>1902500</v>
      </c>
      <c r="P11" s="17">
        <f t="shared" si="3"/>
        <v>1902500</v>
      </c>
      <c r="Q11" s="17">
        <f t="shared" si="3"/>
        <v>1902500</v>
      </c>
      <c r="R11" s="17">
        <f t="shared" si="3"/>
        <v>1902500</v>
      </c>
      <c r="S11" s="17">
        <f t="shared" si="3"/>
        <v>1902500</v>
      </c>
      <c r="T11" s="17">
        <f t="shared" si="3"/>
        <v>1902500</v>
      </c>
      <c r="U11" s="17">
        <f t="shared" si="3"/>
        <v>1902500</v>
      </c>
      <c r="V11" s="17">
        <f t="shared" si="3"/>
        <v>1902500</v>
      </c>
      <c r="W11" s="17">
        <f t="shared" si="3"/>
        <v>1902500</v>
      </c>
      <c r="X11" s="17">
        <f t="shared" si="3"/>
        <v>1902500</v>
      </c>
      <c r="Y11" s="17">
        <f t="shared" si="3"/>
        <v>1902500</v>
      </c>
      <c r="Z11" s="17">
        <f t="shared" si="3"/>
        <v>1902500</v>
      </c>
      <c r="AA11" s="17">
        <f t="shared" si="3"/>
        <v>1902500</v>
      </c>
    </row>
    <row r="12" spans="2:27" x14ac:dyDescent="0.2">
      <c r="B12" s="14" t="s">
        <v>27</v>
      </c>
      <c r="C12" s="28">
        <v>0</v>
      </c>
      <c r="D12" s="28">
        <v>0</v>
      </c>
      <c r="E12" s="28">
        <v>0</v>
      </c>
      <c r="F12" s="29">
        <f>Finansowanie!K5</f>
        <v>4566000</v>
      </c>
      <c r="G12" s="29">
        <f>F12</f>
        <v>4566000</v>
      </c>
      <c r="H12" s="29">
        <f t="shared" ref="H12:O12" si="4">G12</f>
        <v>4566000</v>
      </c>
      <c r="I12" s="29">
        <f t="shared" si="4"/>
        <v>4566000</v>
      </c>
      <c r="J12" s="29">
        <f t="shared" si="4"/>
        <v>4566000</v>
      </c>
      <c r="K12" s="29">
        <f t="shared" si="4"/>
        <v>4566000</v>
      </c>
      <c r="L12" s="29">
        <f t="shared" si="4"/>
        <v>4566000</v>
      </c>
      <c r="M12" s="29">
        <f t="shared" si="4"/>
        <v>4566000</v>
      </c>
      <c r="N12" s="29">
        <f t="shared" si="4"/>
        <v>4566000</v>
      </c>
      <c r="O12" s="29">
        <f t="shared" si="4"/>
        <v>4566000</v>
      </c>
      <c r="P12" s="15">
        <v>0</v>
      </c>
      <c r="Q12" s="15">
        <v>0</v>
      </c>
      <c r="R12" s="15">
        <v>0</v>
      </c>
      <c r="S12" s="15">
        <v>0</v>
      </c>
      <c r="T12" s="15">
        <v>0</v>
      </c>
      <c r="U12" s="15">
        <v>0</v>
      </c>
      <c r="V12" s="15">
        <v>0</v>
      </c>
      <c r="W12" s="15">
        <v>0</v>
      </c>
      <c r="X12" s="15">
        <v>0</v>
      </c>
      <c r="Y12" s="15">
        <v>0</v>
      </c>
      <c r="Z12" s="15">
        <v>0</v>
      </c>
      <c r="AA12" s="15">
        <v>0</v>
      </c>
    </row>
    <row r="13" spans="2:27" x14ac:dyDescent="0.2">
      <c r="B13" s="14" t="s">
        <v>1</v>
      </c>
      <c r="C13" s="29">
        <f>Finansowanie!K10</f>
        <v>3180000</v>
      </c>
      <c r="D13" s="29">
        <f>Finansowanie!L10</f>
        <v>7692000</v>
      </c>
      <c r="E13" s="29">
        <f>Finansowanie!M10</f>
        <v>9132000</v>
      </c>
      <c r="F13" s="29">
        <f>Finansowanie!N10</f>
        <v>9132000</v>
      </c>
      <c r="G13" s="29">
        <f>Finansowanie!O10</f>
        <v>8218800</v>
      </c>
      <c r="H13" s="29">
        <f>Finansowanie!P10</f>
        <v>7305600</v>
      </c>
      <c r="I13" s="29">
        <f>Finansowanie!Q10</f>
        <v>6392400</v>
      </c>
      <c r="J13" s="29">
        <f>Finansowanie!R10</f>
        <v>5479200</v>
      </c>
      <c r="K13" s="29">
        <f>Finansowanie!S10</f>
        <v>4566000</v>
      </c>
      <c r="L13" s="29">
        <f>Finansowanie!T10</f>
        <v>3652800</v>
      </c>
      <c r="M13" s="29">
        <f>Finansowanie!U10</f>
        <v>2739600</v>
      </c>
      <c r="N13" s="29">
        <f>Finansowanie!V10</f>
        <v>1826400</v>
      </c>
      <c r="O13" s="29">
        <f>Finansowanie!W10</f>
        <v>913200</v>
      </c>
      <c r="P13" s="15">
        <v>0</v>
      </c>
      <c r="Q13" s="15">
        <v>0</v>
      </c>
      <c r="R13" s="15">
        <v>0</v>
      </c>
      <c r="S13" s="15">
        <v>0</v>
      </c>
      <c r="T13" s="15">
        <v>0</v>
      </c>
      <c r="U13" s="15">
        <v>0</v>
      </c>
      <c r="V13" s="15">
        <v>0</v>
      </c>
      <c r="W13" s="15">
        <v>0</v>
      </c>
      <c r="X13" s="15">
        <v>0</v>
      </c>
      <c r="Y13" s="15">
        <v>0</v>
      </c>
      <c r="Z13" s="15">
        <v>0</v>
      </c>
      <c r="AA13" s="15">
        <v>0</v>
      </c>
    </row>
    <row r="14" spans="2:27" x14ac:dyDescent="0.2">
      <c r="B14" s="10" t="s">
        <v>2</v>
      </c>
      <c r="C14" s="11">
        <v>0</v>
      </c>
      <c r="D14" s="11">
        <v>0</v>
      </c>
      <c r="E14" s="11">
        <v>0</v>
      </c>
      <c r="F14" s="11">
        <v>87523</v>
      </c>
      <c r="G14" s="11">
        <f>F14*102%</f>
        <v>89273.46</v>
      </c>
      <c r="H14" s="11">
        <f>G14*102%</f>
        <v>91058.929200000013</v>
      </c>
      <c r="I14" s="11">
        <f t="shared" ref="I14:AA14" si="5">H14*102%</f>
        <v>92880.107784000022</v>
      </c>
      <c r="J14" s="11">
        <f t="shared" si="5"/>
        <v>94737.709939680019</v>
      </c>
      <c r="K14" s="11">
        <f t="shared" si="5"/>
        <v>96632.464138473617</v>
      </c>
      <c r="L14" s="11">
        <f t="shared" si="5"/>
        <v>98565.113421243092</v>
      </c>
      <c r="M14" s="11">
        <f t="shared" si="5"/>
        <v>100536.41568966795</v>
      </c>
      <c r="N14" s="11">
        <f t="shared" si="5"/>
        <v>102547.1440034613</v>
      </c>
      <c r="O14" s="11">
        <f t="shared" si="5"/>
        <v>104598.08688353053</v>
      </c>
      <c r="P14" s="11">
        <f t="shared" si="5"/>
        <v>106690.04862120115</v>
      </c>
      <c r="Q14" s="11">
        <f t="shared" si="5"/>
        <v>108823.84959362517</v>
      </c>
      <c r="R14" s="11">
        <f t="shared" si="5"/>
        <v>111000.32658549768</v>
      </c>
      <c r="S14" s="11">
        <f t="shared" si="5"/>
        <v>113220.33311720763</v>
      </c>
      <c r="T14" s="11">
        <f t="shared" si="5"/>
        <v>115484.73977955179</v>
      </c>
      <c r="U14" s="11">
        <f t="shared" si="5"/>
        <v>117794.43457514283</v>
      </c>
      <c r="V14" s="11">
        <f t="shared" si="5"/>
        <v>120150.32326664569</v>
      </c>
      <c r="W14" s="11">
        <f t="shared" si="5"/>
        <v>122553.32973197861</v>
      </c>
      <c r="X14" s="11">
        <f t="shared" si="5"/>
        <v>125004.39632661818</v>
      </c>
      <c r="Y14" s="11">
        <f t="shared" si="5"/>
        <v>127504.48425315054</v>
      </c>
      <c r="Z14" s="11">
        <f t="shared" si="5"/>
        <v>130054.57393821355</v>
      </c>
      <c r="AA14" s="11">
        <f t="shared" si="5"/>
        <v>132655.66541697783</v>
      </c>
    </row>
    <row r="15" spans="2:27" x14ac:dyDescent="0.2">
      <c r="B15" s="12" t="s">
        <v>3</v>
      </c>
      <c r="C15" s="11">
        <v>0</v>
      </c>
      <c r="D15" s="11">
        <v>0</v>
      </c>
      <c r="E15" s="11">
        <v>0</v>
      </c>
      <c r="F15" s="11">
        <v>23997</v>
      </c>
      <c r="G15" s="11">
        <v>14149.44</v>
      </c>
      <c r="H15" s="11">
        <v>14432.43</v>
      </c>
      <c r="I15" s="11">
        <v>14721.08</v>
      </c>
      <c r="J15" s="11">
        <v>15015.5</v>
      </c>
      <c r="K15" s="11">
        <v>15315.81</v>
      </c>
      <c r="L15" s="11">
        <v>15622.13</v>
      </c>
      <c r="M15" s="11">
        <v>15934.57</v>
      </c>
      <c r="N15" s="11">
        <v>16253.26</v>
      </c>
      <c r="O15" s="11">
        <v>16578.32</v>
      </c>
      <c r="P15" s="13">
        <v>16909.89</v>
      </c>
      <c r="Q15" s="13">
        <v>17839.93</v>
      </c>
      <c r="R15" s="13">
        <v>18821.13</v>
      </c>
      <c r="S15" s="13">
        <v>19856.29</v>
      </c>
      <c r="T15" s="13">
        <v>20948.39</v>
      </c>
      <c r="U15" s="13">
        <v>22100.55</v>
      </c>
      <c r="V15" s="13">
        <v>23316.080000000002</v>
      </c>
      <c r="W15" s="13">
        <v>24598.47</v>
      </c>
      <c r="X15" s="13">
        <v>25951.38</v>
      </c>
      <c r="Y15" s="13">
        <v>27378.71</v>
      </c>
      <c r="Z15" s="13">
        <v>28884.54</v>
      </c>
      <c r="AA15" s="13">
        <v>30473.19</v>
      </c>
    </row>
    <row r="16" spans="2:27" hidden="1" x14ac:dyDescent="0.2">
      <c r="B16" s="12" t="s">
        <v>4</v>
      </c>
      <c r="C16" s="11"/>
      <c r="D16" s="11"/>
      <c r="E16" s="11"/>
      <c r="F16" s="11"/>
      <c r="G16" s="11"/>
      <c r="H16" s="11"/>
      <c r="I16" s="11"/>
      <c r="J16" s="11"/>
      <c r="K16" s="11"/>
      <c r="L16" s="11"/>
      <c r="M16" s="11"/>
      <c r="N16" s="11"/>
      <c r="O16" s="11"/>
      <c r="P16" s="11"/>
      <c r="Q16" s="11"/>
      <c r="R16" s="13"/>
      <c r="S16" s="13"/>
      <c r="T16" s="13"/>
      <c r="U16" s="13"/>
      <c r="V16" s="13"/>
      <c r="W16" s="13"/>
      <c r="X16" s="13"/>
      <c r="Y16" s="13"/>
      <c r="Z16" s="13"/>
      <c r="AA16" s="13"/>
    </row>
    <row r="17" spans="2:27" x14ac:dyDescent="0.2">
      <c r="B17" s="12" t="s">
        <v>5</v>
      </c>
      <c r="C17" s="11">
        <v>0</v>
      </c>
      <c r="D17" s="11">
        <v>0</v>
      </c>
      <c r="E17" s="11">
        <f t="shared" ref="E17:AA17" si="6">20*$B$35*E7</f>
        <v>44614.929248848486</v>
      </c>
      <c r="F17" s="11">
        <f t="shared" si="6"/>
        <v>55768.661561060602</v>
      </c>
      <c r="G17" s="11">
        <f t="shared" si="6"/>
        <v>66922.393873272726</v>
      </c>
      <c r="H17" s="11">
        <f t="shared" si="6"/>
        <v>78076.126185484827</v>
      </c>
      <c r="I17" s="11">
        <f t="shared" si="6"/>
        <v>89229.858497696972</v>
      </c>
      <c r="J17" s="11">
        <f t="shared" si="6"/>
        <v>100383.59080990907</v>
      </c>
      <c r="K17" s="11">
        <f t="shared" si="6"/>
        <v>100383.59080990907</v>
      </c>
      <c r="L17" s="11">
        <f t="shared" si="6"/>
        <v>100383.59080990907</v>
      </c>
      <c r="M17" s="11">
        <f t="shared" si="6"/>
        <v>100383.59080990907</v>
      </c>
      <c r="N17" s="11">
        <f t="shared" si="6"/>
        <v>100383.59080990907</v>
      </c>
      <c r="O17" s="11">
        <f t="shared" si="6"/>
        <v>100383.59080990907</v>
      </c>
      <c r="P17" s="11">
        <f t="shared" si="6"/>
        <v>100383.59080990907</v>
      </c>
      <c r="Q17" s="11">
        <f t="shared" si="6"/>
        <v>100383.59080990907</v>
      </c>
      <c r="R17" s="11">
        <f t="shared" si="6"/>
        <v>100383.59080990907</v>
      </c>
      <c r="S17" s="11">
        <f t="shared" si="6"/>
        <v>100383.59080990907</v>
      </c>
      <c r="T17" s="11">
        <f t="shared" si="6"/>
        <v>100383.59080990907</v>
      </c>
      <c r="U17" s="11">
        <f t="shared" si="6"/>
        <v>100383.59080990907</v>
      </c>
      <c r="V17" s="11">
        <f t="shared" si="6"/>
        <v>100383.59080990907</v>
      </c>
      <c r="W17" s="11">
        <f t="shared" si="6"/>
        <v>100383.59080990907</v>
      </c>
      <c r="X17" s="11">
        <f t="shared" si="6"/>
        <v>100383.59080990907</v>
      </c>
      <c r="Y17" s="11">
        <f t="shared" si="6"/>
        <v>100383.59080990907</v>
      </c>
      <c r="Z17" s="11">
        <f t="shared" si="6"/>
        <v>100383.59080990907</v>
      </c>
      <c r="AA17" s="11">
        <f t="shared" si="6"/>
        <v>100383.59080990907</v>
      </c>
    </row>
    <row r="18" spans="2:27" x14ac:dyDescent="0.2">
      <c r="B18" s="12" t="s">
        <v>6</v>
      </c>
      <c r="C18" s="11">
        <v>67000</v>
      </c>
      <c r="D18" s="11">
        <f t="shared" ref="D18:E22" si="7">C18*102%</f>
        <v>68340</v>
      </c>
      <c r="E18" s="11">
        <f t="shared" si="7"/>
        <v>69706.8</v>
      </c>
      <c r="F18" s="11">
        <f>7*12*1500</f>
        <v>126000</v>
      </c>
      <c r="G18" s="11">
        <f t="shared" ref="G18:AA22" si="8">F18*102%</f>
        <v>128520</v>
      </c>
      <c r="H18" s="11">
        <f t="shared" si="8"/>
        <v>131090.4</v>
      </c>
      <c r="I18" s="11">
        <f t="shared" si="8"/>
        <v>133712.20799999998</v>
      </c>
      <c r="J18" s="11">
        <f t="shared" si="8"/>
        <v>136386.45215999999</v>
      </c>
      <c r="K18" s="11">
        <f t="shared" si="8"/>
        <v>139114.18120319999</v>
      </c>
      <c r="L18" s="11">
        <f t="shared" si="8"/>
        <v>141896.46482726399</v>
      </c>
      <c r="M18" s="11">
        <f t="shared" si="8"/>
        <v>144734.39412380927</v>
      </c>
      <c r="N18" s="11">
        <f t="shared" si="8"/>
        <v>147629.08200628546</v>
      </c>
      <c r="O18" s="11">
        <f t="shared" si="8"/>
        <v>150581.66364641118</v>
      </c>
      <c r="P18" s="11">
        <f t="shared" si="8"/>
        <v>153593.29691933939</v>
      </c>
      <c r="Q18" s="11">
        <f t="shared" si="8"/>
        <v>156665.16285772619</v>
      </c>
      <c r="R18" s="11">
        <f t="shared" si="8"/>
        <v>159798.46611488072</v>
      </c>
      <c r="S18" s="11">
        <f t="shared" si="8"/>
        <v>162994.43543717833</v>
      </c>
      <c r="T18" s="11">
        <f t="shared" si="8"/>
        <v>166254.32414592188</v>
      </c>
      <c r="U18" s="11">
        <f t="shared" si="8"/>
        <v>169579.41062884033</v>
      </c>
      <c r="V18" s="11">
        <f t="shared" si="8"/>
        <v>172970.99884141714</v>
      </c>
      <c r="W18" s="11">
        <f t="shared" si="8"/>
        <v>176430.4188182455</v>
      </c>
      <c r="X18" s="11">
        <f t="shared" si="8"/>
        <v>179959.02719461042</v>
      </c>
      <c r="Y18" s="11">
        <f t="shared" si="8"/>
        <v>183558.20773850262</v>
      </c>
      <c r="Z18" s="11">
        <f t="shared" si="8"/>
        <v>187229.37189327268</v>
      </c>
      <c r="AA18" s="11">
        <f t="shared" si="8"/>
        <v>190973.95933113815</v>
      </c>
    </row>
    <row r="19" spans="2:27" hidden="1" x14ac:dyDescent="0.2">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2:27" x14ac:dyDescent="0.2">
      <c r="B20" s="12" t="s">
        <v>7</v>
      </c>
      <c r="C20" s="11">
        <v>800</v>
      </c>
      <c r="D20" s="11">
        <f t="shared" si="7"/>
        <v>816</v>
      </c>
      <c r="E20" s="11">
        <f t="shared" si="7"/>
        <v>832.32</v>
      </c>
      <c r="F20" s="11">
        <f>10*12</f>
        <v>120</v>
      </c>
      <c r="G20" s="11">
        <f t="shared" si="8"/>
        <v>122.4</v>
      </c>
      <c r="H20" s="11">
        <f t="shared" si="8"/>
        <v>124.84800000000001</v>
      </c>
      <c r="I20" s="11">
        <f t="shared" si="8"/>
        <v>127.34496000000001</v>
      </c>
      <c r="J20" s="11">
        <f t="shared" si="8"/>
        <v>129.89185920000003</v>
      </c>
      <c r="K20" s="11">
        <f t="shared" si="8"/>
        <v>132.48969638400004</v>
      </c>
      <c r="L20" s="11">
        <f t="shared" si="8"/>
        <v>135.13949031168005</v>
      </c>
      <c r="M20" s="11">
        <f t="shared" si="8"/>
        <v>137.84228011791365</v>
      </c>
      <c r="N20" s="11">
        <f t="shared" si="8"/>
        <v>140.59912572027193</v>
      </c>
      <c r="O20" s="11">
        <f t="shared" si="8"/>
        <v>143.41110823467736</v>
      </c>
      <c r="P20" s="11">
        <f t="shared" si="8"/>
        <v>146.27933039937091</v>
      </c>
      <c r="Q20" s="11">
        <f t="shared" si="8"/>
        <v>149.20491700735832</v>
      </c>
      <c r="R20" s="11">
        <f t="shared" si="8"/>
        <v>152.18901534750549</v>
      </c>
      <c r="S20" s="11">
        <f t="shared" si="8"/>
        <v>155.2327956544556</v>
      </c>
      <c r="T20" s="11">
        <f t="shared" si="8"/>
        <v>158.33745156754472</v>
      </c>
      <c r="U20" s="11">
        <f t="shared" si="8"/>
        <v>161.50420059889561</v>
      </c>
      <c r="V20" s="11">
        <f t="shared" si="8"/>
        <v>164.73428461087352</v>
      </c>
      <c r="W20" s="11">
        <f t="shared" si="8"/>
        <v>168.028970303091</v>
      </c>
      <c r="X20" s="11">
        <f t="shared" si="8"/>
        <v>171.38954970915282</v>
      </c>
      <c r="Y20" s="11">
        <f t="shared" si="8"/>
        <v>174.81734070333587</v>
      </c>
      <c r="Z20" s="11">
        <f t="shared" si="8"/>
        <v>178.3136875174026</v>
      </c>
      <c r="AA20" s="11">
        <f t="shared" si="8"/>
        <v>181.87996126775064</v>
      </c>
    </row>
    <row r="21" spans="2:27" x14ac:dyDescent="0.2">
      <c r="B21" s="12" t="s">
        <v>8</v>
      </c>
      <c r="C21" s="11">
        <v>6000</v>
      </c>
      <c r="D21" s="11">
        <f t="shared" si="7"/>
        <v>6120</v>
      </c>
      <c r="E21" s="11">
        <f t="shared" si="7"/>
        <v>6242.4000000000005</v>
      </c>
      <c r="F21" s="11">
        <f>30*12</f>
        <v>360</v>
      </c>
      <c r="G21" s="11">
        <f t="shared" si="8"/>
        <v>367.2</v>
      </c>
      <c r="H21" s="11">
        <f t="shared" si="8"/>
        <v>374.54399999999998</v>
      </c>
      <c r="I21" s="11">
        <f t="shared" si="8"/>
        <v>382.03487999999999</v>
      </c>
      <c r="J21" s="11">
        <f t="shared" si="8"/>
        <v>389.6755776</v>
      </c>
      <c r="K21" s="11">
        <f t="shared" si="8"/>
        <v>397.46908915199998</v>
      </c>
      <c r="L21" s="11">
        <f t="shared" si="8"/>
        <v>405.41847093503998</v>
      </c>
      <c r="M21" s="11">
        <f t="shared" si="8"/>
        <v>413.52684035374079</v>
      </c>
      <c r="N21" s="11">
        <f t="shared" si="8"/>
        <v>421.79737716081564</v>
      </c>
      <c r="O21" s="11">
        <f t="shared" si="8"/>
        <v>430.23332470403199</v>
      </c>
      <c r="P21" s="11">
        <f t="shared" si="8"/>
        <v>438.83799119811266</v>
      </c>
      <c r="Q21" s="11">
        <f t="shared" si="8"/>
        <v>447.61475102207493</v>
      </c>
      <c r="R21" s="11">
        <f t="shared" si="8"/>
        <v>456.56704604251644</v>
      </c>
      <c r="S21" s="11">
        <f t="shared" si="8"/>
        <v>465.69838696336677</v>
      </c>
      <c r="T21" s="11">
        <f t="shared" si="8"/>
        <v>475.01235470263413</v>
      </c>
      <c r="U21" s="11">
        <f t="shared" si="8"/>
        <v>484.51260179668679</v>
      </c>
      <c r="V21" s="11">
        <f t="shared" si="8"/>
        <v>494.20285383262052</v>
      </c>
      <c r="W21" s="11">
        <f t="shared" si="8"/>
        <v>504.08691090927294</v>
      </c>
      <c r="X21" s="11">
        <f t="shared" si="8"/>
        <v>514.16864912745837</v>
      </c>
      <c r="Y21" s="11">
        <f t="shared" si="8"/>
        <v>524.45202211000753</v>
      </c>
      <c r="Z21" s="11">
        <f t="shared" si="8"/>
        <v>534.94106255220765</v>
      </c>
      <c r="AA21" s="11">
        <f t="shared" si="8"/>
        <v>545.63988380325179</v>
      </c>
    </row>
    <row r="22" spans="2:27" x14ac:dyDescent="0.2">
      <c r="B22" s="12" t="s">
        <v>9</v>
      </c>
      <c r="C22" s="11">
        <v>4000</v>
      </c>
      <c r="D22" s="11">
        <f t="shared" si="7"/>
        <v>4080</v>
      </c>
      <c r="E22" s="11">
        <f t="shared" si="7"/>
        <v>4161.6000000000004</v>
      </c>
      <c r="F22" s="11">
        <f>12*1000</f>
        <v>12000</v>
      </c>
      <c r="G22" s="11">
        <f t="shared" si="8"/>
        <v>12240</v>
      </c>
      <c r="H22" s="11">
        <f t="shared" si="8"/>
        <v>12484.800000000001</v>
      </c>
      <c r="I22" s="11">
        <f t="shared" si="8"/>
        <v>12734.496000000001</v>
      </c>
      <c r="J22" s="11">
        <f t="shared" si="8"/>
        <v>12989.185920000002</v>
      </c>
      <c r="K22" s="11">
        <f t="shared" si="8"/>
        <v>13248.969638400002</v>
      </c>
      <c r="L22" s="11">
        <f t="shared" si="8"/>
        <v>13513.949031168002</v>
      </c>
      <c r="M22" s="11">
        <f t="shared" si="8"/>
        <v>13784.228011791361</v>
      </c>
      <c r="N22" s="11">
        <f t="shared" si="8"/>
        <v>14059.91257202719</v>
      </c>
      <c r="O22" s="11">
        <f t="shared" si="8"/>
        <v>14341.110823467734</v>
      </c>
      <c r="P22" s="11">
        <f t="shared" si="8"/>
        <v>14627.933039937088</v>
      </c>
      <c r="Q22" s="11">
        <f t="shared" si="8"/>
        <v>14920.491700735831</v>
      </c>
      <c r="R22" s="11">
        <f t="shared" si="8"/>
        <v>15218.901534750548</v>
      </c>
      <c r="S22" s="11">
        <f t="shared" si="8"/>
        <v>15523.27956544556</v>
      </c>
      <c r="T22" s="11">
        <f t="shared" si="8"/>
        <v>15833.745156754472</v>
      </c>
      <c r="U22" s="11">
        <f t="shared" si="8"/>
        <v>16150.420059889562</v>
      </c>
      <c r="V22" s="11">
        <f t="shared" si="8"/>
        <v>16473.428461087355</v>
      </c>
      <c r="W22" s="11">
        <f t="shared" si="8"/>
        <v>16802.897030309101</v>
      </c>
      <c r="X22" s="11">
        <f t="shared" si="8"/>
        <v>17138.954970915282</v>
      </c>
      <c r="Y22" s="11">
        <f t="shared" si="8"/>
        <v>17481.734070333587</v>
      </c>
      <c r="Z22" s="11">
        <f t="shared" si="8"/>
        <v>17831.368751740258</v>
      </c>
      <c r="AA22" s="11">
        <f t="shared" si="8"/>
        <v>18187.996126775062</v>
      </c>
    </row>
    <row r="23" spans="2:27" x14ac:dyDescent="0.2">
      <c r="B23" s="12" t="s">
        <v>12</v>
      </c>
      <c r="C23" s="11">
        <v>0</v>
      </c>
      <c r="D23" s="11">
        <v>0</v>
      </c>
      <c r="E23" s="11">
        <v>0</v>
      </c>
      <c r="F23" s="11">
        <f t="shared" ref="F23:AA23" si="9">IF(F6-SUM(F11:F22)&gt;0,(F6-SUM(F11:F22))*19%,0)</f>
        <v>0</v>
      </c>
      <c r="G23" s="11">
        <f t="shared" si="9"/>
        <v>0</v>
      </c>
      <c r="H23" s="11">
        <f t="shared" si="9"/>
        <v>0</v>
      </c>
      <c r="I23" s="11">
        <f t="shared" si="9"/>
        <v>382665.59419805312</v>
      </c>
      <c r="J23" s="11">
        <f t="shared" si="9"/>
        <v>914531.58634570835</v>
      </c>
      <c r="K23" s="11">
        <f t="shared" si="9"/>
        <v>1087052.9223669735</v>
      </c>
      <c r="L23" s="11">
        <f t="shared" si="9"/>
        <v>1259554.5243866639</v>
      </c>
      <c r="M23" s="11">
        <f t="shared" si="9"/>
        <v>1432035.999662749</v>
      </c>
      <c r="N23" s="11">
        <f t="shared" si="9"/>
        <v>1604496.9442163545</v>
      </c>
      <c r="O23" s="11">
        <f t="shared" si="9"/>
        <v>1776936.9483830337</v>
      </c>
      <c r="P23" s="11">
        <f t="shared" si="9"/>
        <v>2816895.5909610456</v>
      </c>
      <c r="Q23" s="11">
        <f t="shared" si="9"/>
        <v>2815671.9970566174</v>
      </c>
      <c r="R23" s="11">
        <f t="shared" si="9"/>
        <v>2814417.7450261009</v>
      </c>
      <c r="S23" s="11">
        <f t="shared" si="9"/>
        <v>2813131.8841149742</v>
      </c>
      <c r="T23" s="11">
        <f t="shared" si="9"/>
        <v>2811813.4209936252</v>
      </c>
      <c r="U23" s="11">
        <f t="shared" si="9"/>
        <v>2810461.3271898488</v>
      </c>
      <c r="V23" s="11">
        <f t="shared" si="9"/>
        <v>2809074.5294179972</v>
      </c>
      <c r="W23" s="11">
        <f t="shared" si="9"/>
        <v>2807651.9113047081</v>
      </c>
      <c r="X23" s="11">
        <f t="shared" si="9"/>
        <v>2806192.3151111533</v>
      </c>
      <c r="Y23" s="11">
        <f t="shared" si="9"/>
        <v>2804694.5282517276</v>
      </c>
      <c r="Z23" s="11">
        <f t="shared" si="9"/>
        <v>2803157.2945091133</v>
      </c>
      <c r="AA23" s="11">
        <f t="shared" si="9"/>
        <v>9231179.3024456464</v>
      </c>
    </row>
    <row r="24" spans="2:27" x14ac:dyDescent="0.2">
      <c r="B24" s="7" t="s">
        <v>28</v>
      </c>
      <c r="C24" s="8">
        <f>C6-C8-C11-C12-C14-C15-C16-C17-C18-C19-C20-C21-C22-C23-C13+C11</f>
        <v>-13857800</v>
      </c>
      <c r="D24" s="8">
        <f t="shared" ref="D24:AA24" si="10">D6-D8-D11-D12-D14-D15-D16-D17-D18-D19-D20-D21-D22-D23-D13+D11</f>
        <v>-22811356</v>
      </c>
      <c r="E24" s="8">
        <f t="shared" si="10"/>
        <v>-6448199.7626141757</v>
      </c>
      <c r="F24" s="8">
        <f t="shared" si="10"/>
        <v>-4492070.8032677211</v>
      </c>
      <c r="G24" s="8">
        <f t="shared" si="10"/>
        <v>-1682357.4639212666</v>
      </c>
      <c r="H24" s="8">
        <f t="shared" si="10"/>
        <v>1117134.9242251888</v>
      </c>
      <c r="I24" s="8">
        <f t="shared" si="10"/>
        <v>3533863.8489495954</v>
      </c>
      <c r="J24" s="8">
        <f t="shared" si="10"/>
        <v>5801292.552315915</v>
      </c>
      <c r="K24" s="8">
        <f t="shared" si="10"/>
        <v>6536778.2479855195</v>
      </c>
      <c r="L24" s="8">
        <f t="shared" si="10"/>
        <v>7272179.8144905157</v>
      </c>
      <c r="M24" s="8">
        <f t="shared" si="10"/>
        <v>8007495.5775096137</v>
      </c>
      <c r="N24" s="8">
        <f t="shared" si="10"/>
        <v>8742723.8148170915</v>
      </c>
      <c r="O24" s="8">
        <f t="shared" si="10"/>
        <v>9477862.7799487207</v>
      </c>
      <c r="P24" s="8">
        <f t="shared" si="10"/>
        <v>13911370.677254979</v>
      </c>
      <c r="Q24" s="8">
        <f t="shared" si="10"/>
        <v>13906154.303241368</v>
      </c>
      <c r="R24" s="8">
        <f t="shared" si="10"/>
        <v>13900807.228795482</v>
      </c>
      <c r="S24" s="8">
        <f t="shared" si="10"/>
        <v>13895325.400700681</v>
      </c>
      <c r="T24" s="8">
        <f t="shared" si="10"/>
        <v>13889704.584235977</v>
      </c>
      <c r="U24" s="8">
        <f t="shared" si="10"/>
        <v>13883940.394861985</v>
      </c>
      <c r="V24" s="8">
        <f t="shared" si="10"/>
        <v>13878028.25699251</v>
      </c>
      <c r="W24" s="8">
        <f t="shared" si="10"/>
        <v>13871963.411351649</v>
      </c>
      <c r="X24" s="8">
        <f t="shared" si="10"/>
        <v>13865740.922315968</v>
      </c>
      <c r="Y24" s="8">
        <f t="shared" si="10"/>
        <v>13859355.620441575</v>
      </c>
      <c r="Z24" s="8">
        <f t="shared" si="10"/>
        <v>13852802.150275694</v>
      </c>
      <c r="AA24" s="8">
        <f t="shared" si="10"/>
        <v>41256474.920952484</v>
      </c>
    </row>
    <row r="25" spans="2:27" x14ac:dyDescent="0.2">
      <c r="B25" s="7" t="s">
        <v>13</v>
      </c>
      <c r="C25" s="8">
        <f>(1+$C$32)^C28</f>
        <v>1.0900000000000001</v>
      </c>
      <c r="D25" s="8">
        <f t="shared" ref="D25:AA25" si="11">(1+$C$32)^D28</f>
        <v>1.1881000000000002</v>
      </c>
      <c r="E25" s="8">
        <f t="shared" si="11"/>
        <v>1.2950290000000002</v>
      </c>
      <c r="F25" s="8">
        <f t="shared" si="11"/>
        <v>1.4115816100000003</v>
      </c>
      <c r="G25" s="8">
        <f t="shared" si="11"/>
        <v>1.5386239549000005</v>
      </c>
      <c r="H25" s="8">
        <f t="shared" si="11"/>
        <v>1.6771001108410006</v>
      </c>
      <c r="I25" s="8">
        <f t="shared" si="11"/>
        <v>1.8280391208166906</v>
      </c>
      <c r="J25" s="8">
        <f t="shared" si="11"/>
        <v>1.9925626416901929</v>
      </c>
      <c r="K25" s="8">
        <f t="shared" si="11"/>
        <v>2.1718932794423105</v>
      </c>
      <c r="L25" s="8">
        <f t="shared" si="11"/>
        <v>2.3673636745921187</v>
      </c>
      <c r="M25" s="8">
        <f t="shared" si="11"/>
        <v>2.5804264053054093</v>
      </c>
      <c r="N25" s="8">
        <f t="shared" si="11"/>
        <v>2.812664781782896</v>
      </c>
      <c r="O25" s="8">
        <f t="shared" si="11"/>
        <v>3.0658046121433573</v>
      </c>
      <c r="P25" s="8">
        <f t="shared" si="11"/>
        <v>3.3417270272362596</v>
      </c>
      <c r="Q25" s="8">
        <f t="shared" si="11"/>
        <v>3.6424824596875229</v>
      </c>
      <c r="R25" s="8">
        <f t="shared" si="11"/>
        <v>3.9703058810594003</v>
      </c>
      <c r="S25" s="8">
        <f t="shared" si="11"/>
        <v>4.3276334103547462</v>
      </c>
      <c r="T25" s="8">
        <f t="shared" si="11"/>
        <v>4.7171204172866741</v>
      </c>
      <c r="U25" s="8">
        <f t="shared" si="11"/>
        <v>5.1416612548424752</v>
      </c>
      <c r="V25" s="8">
        <f t="shared" si="11"/>
        <v>5.6044107677782975</v>
      </c>
      <c r="W25" s="8">
        <f t="shared" si="11"/>
        <v>6.1088077368783456</v>
      </c>
      <c r="X25" s="8">
        <f t="shared" si="11"/>
        <v>6.6586004331973969</v>
      </c>
      <c r="Y25" s="8">
        <f t="shared" si="11"/>
        <v>7.2578744721851622</v>
      </c>
      <c r="Z25" s="8">
        <f t="shared" si="11"/>
        <v>7.9110831746818278</v>
      </c>
      <c r="AA25" s="8">
        <f t="shared" si="11"/>
        <v>8.6230806604031933</v>
      </c>
    </row>
    <row r="26" spans="2:27" x14ac:dyDescent="0.2">
      <c r="B26" s="7" t="s">
        <v>29</v>
      </c>
      <c r="C26" s="8">
        <f>C24/C25</f>
        <v>-12713577.981651375</v>
      </c>
      <c r="D26" s="8">
        <f t="shared" ref="D26:AA26" si="12">D24/D25</f>
        <v>-19199861.9644811</v>
      </c>
      <c r="E26" s="8">
        <f t="shared" si="12"/>
        <v>-4979193.332824342</v>
      </c>
      <c r="F26" s="8">
        <f t="shared" si="12"/>
        <v>-3182296.2069247416</v>
      </c>
      <c r="G26" s="8">
        <f t="shared" si="12"/>
        <v>-1093416.9187757173</v>
      </c>
      <c r="H26" s="8">
        <f t="shared" si="12"/>
        <v>666111.05503116862</v>
      </c>
      <c r="I26" s="8">
        <f t="shared" si="12"/>
        <v>1933144.5419892406</v>
      </c>
      <c r="J26" s="8">
        <f t="shared" si="12"/>
        <v>2911473.1105241259</v>
      </c>
      <c r="K26" s="8">
        <f t="shared" si="12"/>
        <v>3009714.2939104289</v>
      </c>
      <c r="L26" s="8">
        <f t="shared" si="12"/>
        <v>3071847.3433294799</v>
      </c>
      <c r="M26" s="8">
        <f t="shared" si="12"/>
        <v>3103167.5854215566</v>
      </c>
      <c r="N26" s="8">
        <f t="shared" si="12"/>
        <v>3108341.9081584406</v>
      </c>
      <c r="O26" s="8">
        <f t="shared" si="12"/>
        <v>3091476.4569169926</v>
      </c>
      <c r="P26" s="8">
        <f t="shared" si="12"/>
        <v>4162928.4989086115</v>
      </c>
      <c r="Q26" s="8">
        <f t="shared" si="12"/>
        <v>3817768.3646098692</v>
      </c>
      <c r="R26" s="8">
        <f t="shared" si="12"/>
        <v>3501193.0176740731</v>
      </c>
      <c r="S26" s="8">
        <f t="shared" si="12"/>
        <v>3210836.9825071781</v>
      </c>
      <c r="T26" s="8">
        <f t="shared" si="12"/>
        <v>2944530.4243951119</v>
      </c>
      <c r="U26" s="8">
        <f t="shared" si="12"/>
        <v>2700282.9837897103</v>
      </c>
      <c r="V26" s="8">
        <f t="shared" si="12"/>
        <v>2476268.9303186182</v>
      </c>
      <c r="W26" s="8">
        <f t="shared" si="12"/>
        <v>2270813.5546004833</v>
      </c>
      <c r="X26" s="8">
        <f t="shared" si="12"/>
        <v>2082380.6836623428</v>
      </c>
      <c r="Y26" s="8">
        <f t="shared" si="12"/>
        <v>1909561.2184470412</v>
      </c>
      <c r="Z26" s="8">
        <f t="shared" si="12"/>
        <v>1751062.6350901478</v>
      </c>
      <c r="AA26" s="8">
        <f t="shared" si="12"/>
        <v>4784424.0991969844</v>
      </c>
    </row>
    <row r="27" spans="2:27" x14ac:dyDescent="0.2">
      <c r="B27" s="7" t="s">
        <v>30</v>
      </c>
      <c r="C27" s="8">
        <f>C26</f>
        <v>-12713577.981651375</v>
      </c>
      <c r="D27" s="8">
        <f>C27+D26</f>
        <v>-31913439.946132474</v>
      </c>
      <c r="E27" s="8">
        <f>D27+E26</f>
        <v>-36892633.278956816</v>
      </c>
      <c r="F27" s="9">
        <f>E27+F26</f>
        <v>-40074929.48588156</v>
      </c>
      <c r="G27" s="9">
        <f>F27+G26</f>
        <v>-41168346.404657274</v>
      </c>
      <c r="H27" s="9">
        <f t="shared" ref="H27:AA27" si="13">G27+H26</f>
        <v>-40502235.349626109</v>
      </c>
      <c r="I27" s="9">
        <f t="shared" si="13"/>
        <v>-38569090.807636872</v>
      </c>
      <c r="J27" s="9">
        <f t="shared" si="13"/>
        <v>-35657617.697112747</v>
      </c>
      <c r="K27" s="9">
        <f t="shared" si="13"/>
        <v>-32647903.403202318</v>
      </c>
      <c r="L27" s="9">
        <f t="shared" si="13"/>
        <v>-29576056.059872836</v>
      </c>
      <c r="M27" s="9">
        <f t="shared" si="13"/>
        <v>-26472888.474451281</v>
      </c>
      <c r="N27" s="9">
        <f t="shared" si="13"/>
        <v>-23364546.566292841</v>
      </c>
      <c r="O27" s="9">
        <f t="shared" si="13"/>
        <v>-20273070.109375849</v>
      </c>
      <c r="P27" s="9">
        <f t="shared" si="13"/>
        <v>-16110141.610467238</v>
      </c>
      <c r="Q27" s="9">
        <f t="shared" si="13"/>
        <v>-12292373.245857369</v>
      </c>
      <c r="R27" s="9">
        <f t="shared" si="13"/>
        <v>-8791180.2281832956</v>
      </c>
      <c r="S27" s="9">
        <f t="shared" si="13"/>
        <v>-5580343.245676117</v>
      </c>
      <c r="T27" s="9">
        <f t="shared" si="13"/>
        <v>-2635812.8212810052</v>
      </c>
      <c r="U27" s="9">
        <f t="shared" si="13"/>
        <v>64470.162508705165</v>
      </c>
      <c r="V27" s="9">
        <f t="shared" si="13"/>
        <v>2540739.0928273234</v>
      </c>
      <c r="W27" s="9">
        <f t="shared" si="13"/>
        <v>4811552.6474278066</v>
      </c>
      <c r="X27" s="9">
        <f t="shared" si="13"/>
        <v>6893933.3310901495</v>
      </c>
      <c r="Y27" s="9">
        <f t="shared" si="13"/>
        <v>8803494.5495371912</v>
      </c>
      <c r="Z27" s="9">
        <f t="shared" si="13"/>
        <v>10554557.184627339</v>
      </c>
      <c r="AA27" s="9">
        <f t="shared" si="13"/>
        <v>15338981.283824325</v>
      </c>
    </row>
    <row r="28" spans="2:27" x14ac:dyDescent="0.2">
      <c r="B28" s="25" t="s">
        <v>19</v>
      </c>
      <c r="C28" s="26">
        <v>1</v>
      </c>
      <c r="D28" s="26">
        <f>C28+1</f>
        <v>2</v>
      </c>
      <c r="E28" s="26">
        <f t="shared" ref="E28:AA28" si="14">D28+1</f>
        <v>3</v>
      </c>
      <c r="F28" s="26">
        <f t="shared" si="14"/>
        <v>4</v>
      </c>
      <c r="G28" s="26">
        <f t="shared" si="14"/>
        <v>5</v>
      </c>
      <c r="H28" s="26">
        <f t="shared" si="14"/>
        <v>6</v>
      </c>
      <c r="I28" s="26">
        <f t="shared" si="14"/>
        <v>7</v>
      </c>
      <c r="J28" s="26">
        <f t="shared" si="14"/>
        <v>8</v>
      </c>
      <c r="K28" s="26">
        <f t="shared" si="14"/>
        <v>9</v>
      </c>
      <c r="L28" s="26">
        <f t="shared" si="14"/>
        <v>10</v>
      </c>
      <c r="M28" s="26">
        <f t="shared" si="14"/>
        <v>11</v>
      </c>
      <c r="N28" s="26">
        <f t="shared" si="14"/>
        <v>12</v>
      </c>
      <c r="O28" s="26">
        <f t="shared" si="14"/>
        <v>13</v>
      </c>
      <c r="P28" s="26">
        <f t="shared" si="14"/>
        <v>14</v>
      </c>
      <c r="Q28" s="26">
        <f t="shared" si="14"/>
        <v>15</v>
      </c>
      <c r="R28" s="26">
        <f t="shared" si="14"/>
        <v>16</v>
      </c>
      <c r="S28" s="26">
        <f t="shared" si="14"/>
        <v>17</v>
      </c>
      <c r="T28" s="26">
        <f t="shared" si="14"/>
        <v>18</v>
      </c>
      <c r="U28" s="26">
        <f t="shared" si="14"/>
        <v>19</v>
      </c>
      <c r="V28" s="26">
        <f t="shared" si="14"/>
        <v>20</v>
      </c>
      <c r="W28" s="26">
        <f t="shared" si="14"/>
        <v>21</v>
      </c>
      <c r="X28" s="26">
        <f t="shared" si="14"/>
        <v>22</v>
      </c>
      <c r="Y28" s="26">
        <f t="shared" si="14"/>
        <v>23</v>
      </c>
      <c r="Z28" s="26">
        <f t="shared" si="14"/>
        <v>24</v>
      </c>
      <c r="AA28" s="26">
        <f t="shared" si="14"/>
        <v>25</v>
      </c>
    </row>
    <row r="30" spans="2:27" x14ac:dyDescent="0.2">
      <c r="E30" s="3" t="s">
        <v>20</v>
      </c>
      <c r="F30" s="37">
        <f>-(C9+C10)+SUM(C26:AA26)</f>
        <v>11841981.283824325</v>
      </c>
      <c r="G30" t="s">
        <v>14</v>
      </c>
    </row>
    <row r="32" spans="2:27" x14ac:dyDescent="0.2">
      <c r="B32" s="43" t="s">
        <v>62</v>
      </c>
      <c r="C32" s="44">
        <v>0.09</v>
      </c>
      <c r="F32" s="24">
        <f>-(C9+C10)+NPV(C32,C24:AA24)</f>
        <v>11841981.283824306</v>
      </c>
      <c r="G32" t="s">
        <v>14</v>
      </c>
    </row>
    <row r="33" spans="2:15" x14ac:dyDescent="0.2">
      <c r="F33" s="5"/>
      <c r="G33" s="5"/>
      <c r="H33" s="5"/>
      <c r="I33" s="5"/>
      <c r="J33" s="5"/>
      <c r="K33" s="5"/>
      <c r="L33" s="5"/>
      <c r="M33" s="5"/>
      <c r="N33" s="6"/>
      <c r="O33" s="6"/>
    </row>
    <row r="34" spans="2:15" x14ac:dyDescent="0.2">
      <c r="B34" s="46" t="s">
        <v>17</v>
      </c>
      <c r="C34" s="1" t="s">
        <v>35</v>
      </c>
      <c r="E34" s="3" t="s">
        <v>21</v>
      </c>
      <c r="F34" s="38">
        <f>IRR(C24:AA24)</f>
        <v>0.11614582673600227</v>
      </c>
      <c r="G34" s="5"/>
      <c r="H34" s="5"/>
      <c r="I34" s="5"/>
      <c r="J34" s="5"/>
      <c r="K34" s="5"/>
      <c r="L34" s="5"/>
      <c r="M34" s="5"/>
      <c r="N34" s="6"/>
      <c r="O34" s="6"/>
    </row>
    <row r="35" spans="2:15" x14ac:dyDescent="0.2">
      <c r="B35" s="47">
        <f>856+7321</f>
        <v>8177</v>
      </c>
      <c r="C35" s="45">
        <f>'Zależności wskaźników'!L5</f>
        <v>3411.1264613654275</v>
      </c>
    </row>
    <row r="36" spans="2:15" x14ac:dyDescent="0.2">
      <c r="B36" s="46" t="s">
        <v>18</v>
      </c>
      <c r="C36" s="1" t="s">
        <v>36</v>
      </c>
      <c r="E36" s="4"/>
      <c r="F36" s="5"/>
      <c r="G36" s="5"/>
      <c r="H36" s="5"/>
      <c r="I36" s="5"/>
      <c r="J36" s="5"/>
      <c r="K36" s="5"/>
      <c r="L36" s="5"/>
      <c r="M36" s="5"/>
      <c r="N36" s="5"/>
      <c r="O36" s="5"/>
    </row>
    <row r="37" spans="2:15" x14ac:dyDescent="0.2">
      <c r="B37" s="50">
        <f>C37*B35</f>
        <v>76100000</v>
      </c>
      <c r="C37" s="45">
        <f>'Zależności wskaźników'!L3</f>
        <v>9306.5916595328363</v>
      </c>
      <c r="F37" s="5"/>
      <c r="G37" s="5"/>
      <c r="H37" s="5"/>
      <c r="I37" s="5"/>
      <c r="J37" s="5"/>
      <c r="K37" s="5"/>
      <c r="L37" s="5"/>
      <c r="M37" s="5"/>
      <c r="N37" s="5"/>
      <c r="O37" s="5"/>
    </row>
    <row r="39" spans="2:15" x14ac:dyDescent="0.2">
      <c r="B39" s="1" t="s">
        <v>67</v>
      </c>
      <c r="C39" s="1" t="s">
        <v>68</v>
      </c>
    </row>
    <row r="40" spans="2:15" x14ac:dyDescent="0.2">
      <c r="B40" t="s">
        <v>69</v>
      </c>
    </row>
    <row r="41" spans="2:15" x14ac:dyDescent="0.2">
      <c r="B41" s="42" t="s">
        <v>71</v>
      </c>
      <c r="C41" s="52">
        <v>0.75806451612903225</v>
      </c>
    </row>
    <row r="42" spans="2:15" x14ac:dyDescent="0.2">
      <c r="B42" s="42" t="s">
        <v>70</v>
      </c>
      <c r="C42" s="52">
        <v>0.24193548387096775</v>
      </c>
      <c r="D42" s="49"/>
    </row>
    <row r="43" spans="2:15" x14ac:dyDescent="0.2">
      <c r="B43" s="49"/>
      <c r="C43" s="49"/>
      <c r="D43" s="49"/>
    </row>
    <row r="44" spans="2:15" x14ac:dyDescent="0.2">
      <c r="B44" s="53" t="s">
        <v>18</v>
      </c>
    </row>
    <row r="45" spans="2:15" x14ac:dyDescent="0.2">
      <c r="B45" s="56">
        <f>B37</f>
        <v>76100000</v>
      </c>
    </row>
    <row r="46" spans="2:15" x14ac:dyDescent="0.2">
      <c r="B46" s="54" t="s">
        <v>73</v>
      </c>
    </row>
    <row r="47" spans="2:15" x14ac:dyDescent="0.2">
      <c r="B47" s="57">
        <f>C8</f>
        <v>26500000</v>
      </c>
    </row>
    <row r="48" spans="2:15" x14ac:dyDescent="0.2">
      <c r="B48" s="55" t="s">
        <v>74</v>
      </c>
    </row>
    <row r="49" spans="2:5" x14ac:dyDescent="0.2">
      <c r="B49" s="58">
        <f>B45-B47</f>
        <v>49600000</v>
      </c>
    </row>
    <row r="52" spans="2:5" x14ac:dyDescent="0.2">
      <c r="B52" s="99" t="s">
        <v>63</v>
      </c>
      <c r="C52" s="99"/>
      <c r="D52" s="99"/>
      <c r="E52" s="100" t="s">
        <v>72</v>
      </c>
    </row>
    <row r="53" spans="2:5" x14ac:dyDescent="0.2">
      <c r="B53" s="48" t="s">
        <v>66</v>
      </c>
      <c r="C53" s="48" t="s">
        <v>64</v>
      </c>
      <c r="D53" s="48" t="s">
        <v>65</v>
      </c>
      <c r="E53" s="101"/>
    </row>
    <row r="54" spans="2:5" x14ac:dyDescent="0.2">
      <c r="B54" s="51">
        <f>C8/B37</f>
        <v>0.34822601839684625</v>
      </c>
      <c r="C54" s="51">
        <f>D8/B37</f>
        <v>0.4940867279894875</v>
      </c>
      <c r="D54" s="51">
        <f>E8/B37</f>
        <v>0.15768725361366623</v>
      </c>
      <c r="E54" s="51">
        <f>B54+C54+D54</f>
        <v>1</v>
      </c>
    </row>
  </sheetData>
  <mergeCells count="5">
    <mergeCell ref="C4:C5"/>
    <mergeCell ref="D4:D5"/>
    <mergeCell ref="E4:E5"/>
    <mergeCell ref="B52:D52"/>
    <mergeCell ref="E52:E53"/>
  </mergeCells>
  <phoneticPr fontId="0" type="noConversion"/>
  <pageMargins left="0.75" right="0.75" top="1" bottom="1" header="0.5" footer="0.5"/>
  <pageSetup paperSize="9"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P10001"/>
  <sheetViews>
    <sheetView workbookViewId="0"/>
  </sheetViews>
  <sheetFormatPr defaultRowHeight="12.75" x14ac:dyDescent="0.2"/>
  <cols>
    <col min="1" max="4" width="36.7109375" customWidth="1"/>
  </cols>
  <sheetData>
    <row r="1" spans="1:16" x14ac:dyDescent="0.2">
      <c r="A1" s="35" t="s">
        <v>37</v>
      </c>
    </row>
    <row r="2" spans="1:16" x14ac:dyDescent="0.2">
      <c r="P2" t="e">
        <f ca="1">_xll.CB.RecalcCounterFN()</f>
        <v>#NAME?</v>
      </c>
    </row>
    <row r="3" spans="1:16" x14ac:dyDescent="0.2">
      <c r="A3" t="s">
        <v>38</v>
      </c>
      <c r="B3" t="s">
        <v>39</v>
      </c>
      <c r="C3">
        <v>0</v>
      </c>
    </row>
    <row r="4" spans="1:16" x14ac:dyDescent="0.2">
      <c r="A4" t="s">
        <v>40</v>
      </c>
    </row>
    <row r="5" spans="1:16" x14ac:dyDescent="0.2">
      <c r="A5" t="s">
        <v>41</v>
      </c>
    </row>
    <row r="7" spans="1:16" x14ac:dyDescent="0.2">
      <c r="A7" s="35" t="s">
        <v>42</v>
      </c>
      <c r="B7" t="s">
        <v>43</v>
      </c>
    </row>
    <row r="8" spans="1:16" x14ac:dyDescent="0.2">
      <c r="B8">
        <v>4</v>
      </c>
    </row>
    <row r="10" spans="1:16" x14ac:dyDescent="0.2">
      <c r="A10" t="s">
        <v>44</v>
      </c>
    </row>
    <row r="11" spans="1:16" x14ac:dyDescent="0.2">
      <c r="A11" t="e">
        <f>CB_DATA_!#REF!</f>
        <v>#REF!</v>
      </c>
      <c r="B11" t="e">
        <f>'Zależności wskaźników'!#REF!</f>
        <v>#REF!</v>
      </c>
      <c r="C11" t="e">
        <f>'Przepływy i NPV'!#REF!</f>
        <v>#REF!</v>
      </c>
      <c r="D11" t="e">
        <f>Finansowanie!#REF!</f>
        <v>#REF!</v>
      </c>
    </row>
    <row r="13" spans="1:16" x14ac:dyDescent="0.2">
      <c r="A13" t="s">
        <v>45</v>
      </c>
    </row>
    <row r="14" spans="1:16" x14ac:dyDescent="0.2">
      <c r="A14" t="s">
        <v>49</v>
      </c>
      <c r="B14" t="s">
        <v>53</v>
      </c>
      <c r="C14" t="s">
        <v>56</v>
      </c>
      <c r="D14" t="s">
        <v>57</v>
      </c>
    </row>
    <row r="16" spans="1:16" x14ac:dyDescent="0.2">
      <c r="A16" t="s">
        <v>46</v>
      </c>
    </row>
    <row r="19" spans="1:4" x14ac:dyDescent="0.2">
      <c r="A19" t="s">
        <v>47</v>
      </c>
    </row>
    <row r="20" spans="1:4" x14ac:dyDescent="0.2">
      <c r="A20">
        <v>31</v>
      </c>
      <c r="B20">
        <v>31</v>
      </c>
      <c r="C20">
        <v>31</v>
      </c>
      <c r="D20">
        <v>31</v>
      </c>
    </row>
    <row r="25" spans="1:4" x14ac:dyDescent="0.2">
      <c r="A25" s="35" t="s">
        <v>48</v>
      </c>
    </row>
    <row r="26" spans="1:4" x14ac:dyDescent="0.2">
      <c r="A26" s="36" t="s">
        <v>50</v>
      </c>
      <c r="B26" s="36" t="s">
        <v>54</v>
      </c>
      <c r="C26" s="36" t="s">
        <v>54</v>
      </c>
      <c r="D26" s="36" t="s">
        <v>54</v>
      </c>
    </row>
    <row r="27" spans="1:4" x14ac:dyDescent="0.2">
      <c r="A27" t="s">
        <v>51</v>
      </c>
      <c r="B27" t="s">
        <v>106</v>
      </c>
      <c r="C27" t="s">
        <v>108</v>
      </c>
      <c r="D27" t="s">
        <v>107</v>
      </c>
    </row>
    <row r="28" spans="1:4" x14ac:dyDescent="0.2">
      <c r="A28" s="36" t="s">
        <v>52</v>
      </c>
      <c r="B28" s="36" t="s">
        <v>52</v>
      </c>
      <c r="C28" s="36" t="s">
        <v>52</v>
      </c>
      <c r="D28" s="36" t="s">
        <v>52</v>
      </c>
    </row>
    <row r="29" spans="1:4" x14ac:dyDescent="0.2">
      <c r="A29" s="36" t="s">
        <v>60</v>
      </c>
      <c r="B29" s="36" t="s">
        <v>50</v>
      </c>
      <c r="C29" s="36" t="s">
        <v>50</v>
      </c>
      <c r="D29" s="36" t="s">
        <v>50</v>
      </c>
    </row>
    <row r="30" spans="1:4" x14ac:dyDescent="0.2">
      <c r="A30" t="s">
        <v>109</v>
      </c>
      <c r="B30" t="s">
        <v>55</v>
      </c>
      <c r="C30" t="s">
        <v>58</v>
      </c>
      <c r="D30" t="s">
        <v>85</v>
      </c>
    </row>
    <row r="31" spans="1:4" x14ac:dyDescent="0.2">
      <c r="A31" s="36" t="s">
        <v>61</v>
      </c>
      <c r="B31" s="36" t="s">
        <v>52</v>
      </c>
      <c r="C31" s="36" t="s">
        <v>52</v>
      </c>
      <c r="D31" s="36" t="s">
        <v>52</v>
      </c>
    </row>
    <row r="10000" spans="1:1" x14ac:dyDescent="0.2">
      <c r="A10000" t="s">
        <v>59</v>
      </c>
    </row>
    <row r="10001" spans="1:1" x14ac:dyDescent="0.2">
      <c r="A10001" t="str">
        <f>"{0.MEAN}"</f>
        <v>{0.MEAN}</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Budynek</vt:lpstr>
      <vt:lpstr>Zmienne decyzyjne</vt:lpstr>
      <vt:lpstr>Zależności wskaźników</vt:lpstr>
      <vt:lpstr>Regresja </vt:lpstr>
      <vt:lpstr>Finansowanie</vt:lpstr>
      <vt:lpstr>Przepływy i NPV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dc:creator>
  <cp:lastModifiedBy>Rosłon Jerzy</cp:lastModifiedBy>
  <dcterms:created xsi:type="dcterms:W3CDTF">1997-02-26T13:46:56Z</dcterms:created>
  <dcterms:modified xsi:type="dcterms:W3CDTF">2023-11-13T12:42:06Z</dcterms:modified>
</cp:coreProperties>
</file>